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cdoll\Documents\"/>
    </mc:Choice>
  </mc:AlternateContent>
  <xr:revisionPtr revIDLastSave="0" documentId="8_{E887587D-663F-4D06-9C04-F9ACF7E32319}" xr6:coauthVersionLast="36" xr6:coauthVersionMax="36" xr10:uidLastSave="{00000000-0000-0000-0000-000000000000}"/>
  <bookViews>
    <workbookView xWindow="0" yWindow="0" windowWidth="28800" windowHeight="12225" tabRatio="424" xr2:uid="{00000000-000D-0000-FFFF-FFFF00000000}"/>
  </bookViews>
  <sheets>
    <sheet name="Fund Balance Projection" sheetId="1" r:id="rId1"/>
    <sheet name="Summary" sheetId="2" r:id="rId2"/>
  </sheets>
  <definedNames>
    <definedName name="_xlnm.Print_Area" localSheetId="0">'Fund Balance Projection'!$A$1:$P$70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P56" i="1" l="1"/>
  <c r="D9" i="1"/>
  <c r="Q35" i="1"/>
  <c r="Q36" i="1"/>
  <c r="Q37" i="1"/>
  <c r="O56" i="1"/>
  <c r="N56" i="1"/>
  <c r="C56" i="1"/>
  <c r="M56" i="1"/>
  <c r="L56" i="1"/>
  <c r="I47" i="1"/>
  <c r="K56" i="1"/>
  <c r="J56" i="1" l="1"/>
  <c r="I56" i="1"/>
  <c r="H56" i="1"/>
  <c r="G56" i="1"/>
  <c r="F56" i="1"/>
  <c r="E56" i="1"/>
  <c r="Q21" i="1" l="1"/>
  <c r="Q22" i="1"/>
  <c r="Q38" i="1"/>
  <c r="Q34" i="1" l="1"/>
  <c r="Q24" i="1" l="1"/>
  <c r="D4" i="2"/>
  <c r="E4" i="2"/>
  <c r="F4" i="2"/>
  <c r="G4" i="2"/>
  <c r="H4" i="2"/>
  <c r="I4" i="2"/>
  <c r="J4" i="2"/>
  <c r="K4" i="2"/>
  <c r="L4" i="2"/>
  <c r="M4" i="2"/>
  <c r="N4" i="2"/>
  <c r="O4" i="2"/>
  <c r="P4" i="2"/>
  <c r="C4" i="2"/>
  <c r="Q25" i="1" l="1"/>
  <c r="Q28" i="1" l="1"/>
  <c r="Q27" i="1" l="1"/>
  <c r="C61" i="1"/>
  <c r="C9" i="2" s="1"/>
  <c r="Q26" i="1" l="1"/>
  <c r="C66" i="1" l="1"/>
  <c r="E42" i="1"/>
  <c r="G42" i="1" l="1"/>
  <c r="E59" i="1"/>
  <c r="Q47" i="1"/>
  <c r="Q46" i="1"/>
  <c r="Q45" i="1"/>
  <c r="C39" i="1"/>
  <c r="E63" i="1"/>
  <c r="C67" i="1"/>
  <c r="C65" i="1"/>
  <c r="C48" i="1" l="1"/>
  <c r="C7" i="2"/>
  <c r="Q11" i="1"/>
  <c r="E39" i="1"/>
  <c r="Q12" i="1"/>
  <c r="F59" i="1"/>
  <c r="E61" i="1"/>
  <c r="E48" i="1" l="1"/>
  <c r="E7" i="2"/>
  <c r="E65" i="1"/>
  <c r="E9" i="2"/>
  <c r="C64" i="1"/>
  <c r="C68" i="1" s="1"/>
  <c r="C10" i="2" s="1"/>
  <c r="C8" i="2"/>
  <c r="Q9" i="1"/>
  <c r="G59" i="1"/>
  <c r="H59" i="1" s="1"/>
  <c r="Q10" i="1"/>
  <c r="F39" i="1"/>
  <c r="F48" i="1" s="1"/>
  <c r="F61" i="1"/>
  <c r="F65" i="1" l="1"/>
  <c r="F9" i="2"/>
  <c r="F7" i="2"/>
  <c r="E64" i="1"/>
  <c r="E68" i="1" s="1"/>
  <c r="E8" i="2"/>
  <c r="I59" i="1"/>
  <c r="J59" i="1" s="1"/>
  <c r="G61" i="1"/>
  <c r="G65" i="1" l="1"/>
  <c r="G9" i="2"/>
  <c r="F64" i="1"/>
  <c r="F8" i="2"/>
  <c r="F63" i="1"/>
  <c r="E10" i="2"/>
  <c r="H61" i="1"/>
  <c r="K59" i="1"/>
  <c r="H39" i="1"/>
  <c r="H7" i="2" s="1"/>
  <c r="Q56" i="1"/>
  <c r="S56" i="1" s="1"/>
  <c r="I61" i="1"/>
  <c r="F68" i="1" l="1"/>
  <c r="G63" i="1" s="1"/>
  <c r="H65" i="1"/>
  <c r="H9" i="2"/>
  <c r="I65" i="1"/>
  <c r="I9" i="2"/>
  <c r="H48" i="1"/>
  <c r="L59" i="1"/>
  <c r="J61" i="1"/>
  <c r="I39" i="1"/>
  <c r="I7" i="2" s="1"/>
  <c r="F10" i="2" l="1"/>
  <c r="J65" i="1"/>
  <c r="J9" i="2"/>
  <c r="H64" i="1"/>
  <c r="H8" i="2"/>
  <c r="Q18" i="1"/>
  <c r="I48" i="1"/>
  <c r="Q44" i="1"/>
  <c r="Q32" i="1"/>
  <c r="M59" i="1"/>
  <c r="Q33" i="1"/>
  <c r="L61" i="1"/>
  <c r="K61" i="1"/>
  <c r="Q31" i="1"/>
  <c r="Q30" i="1"/>
  <c r="L65" i="1" l="1"/>
  <c r="L9" i="2"/>
  <c r="I64" i="1"/>
  <c r="I8" i="2"/>
  <c r="Q55" i="1"/>
  <c r="S55" i="1" s="1"/>
  <c r="K65" i="1"/>
  <c r="K9" i="2"/>
  <c r="Q19" i="1"/>
  <c r="Q15" i="1"/>
  <c r="M61" i="1"/>
  <c r="Q54" i="1"/>
  <c r="S54" i="1" s="1"/>
  <c r="Q17" i="1"/>
  <c r="Q41" i="1"/>
  <c r="Q14" i="1"/>
  <c r="N59" i="1"/>
  <c r="O59" i="1" s="1"/>
  <c r="P59" i="1" s="1"/>
  <c r="Q59" i="1" s="1"/>
  <c r="Q29" i="1"/>
  <c r="M65" i="1" l="1"/>
  <c r="M9" i="2"/>
  <c r="Q23" i="1"/>
  <c r="Q42" i="1"/>
  <c r="Q43" i="1"/>
  <c r="Q16" i="1"/>
  <c r="Q13" i="1" l="1"/>
  <c r="J39" i="1"/>
  <c r="J7" i="2" s="1"/>
  <c r="D39" i="1"/>
  <c r="D48" i="1" s="1"/>
  <c r="G20" i="1"/>
  <c r="G39" i="1" s="1"/>
  <c r="G48" i="1" s="1"/>
  <c r="D8" i="2" l="1"/>
  <c r="D64" i="1"/>
  <c r="D7" i="2"/>
  <c r="G8" i="2"/>
  <c r="G64" i="1"/>
  <c r="G68" i="1" s="1"/>
  <c r="G7" i="2"/>
  <c r="J48" i="1"/>
  <c r="J64" i="1" l="1"/>
  <c r="J8" i="2"/>
  <c r="K39" i="1"/>
  <c r="L39" i="1"/>
  <c r="H63" i="1"/>
  <c r="H68" i="1" s="1"/>
  <c r="G10" i="2"/>
  <c r="L7" i="2" l="1"/>
  <c r="L48" i="1"/>
  <c r="K48" i="1"/>
  <c r="K7" i="2"/>
  <c r="H10" i="2"/>
  <c r="I63" i="1"/>
  <c r="I68" i="1" s="1"/>
  <c r="M39" i="1"/>
  <c r="N39" i="1" l="1"/>
  <c r="N7" i="2" s="1"/>
  <c r="K64" i="1"/>
  <c r="K8" i="2"/>
  <c r="L64" i="1"/>
  <c r="L8" i="2"/>
  <c r="I10" i="2"/>
  <c r="J63" i="1"/>
  <c r="J68" i="1" s="1"/>
  <c r="M48" i="1"/>
  <c r="M7" i="2"/>
  <c r="O39" i="1" l="1"/>
  <c r="O48" i="1" s="1"/>
  <c r="N48" i="1"/>
  <c r="N64" i="1" s="1"/>
  <c r="M8" i="2"/>
  <c r="M64" i="1"/>
  <c r="K63" i="1"/>
  <c r="K68" i="1" s="1"/>
  <c r="J10" i="2"/>
  <c r="P39" i="1" l="1"/>
  <c r="N8" i="2"/>
  <c r="O7" i="2"/>
  <c r="K10" i="2"/>
  <c r="L63" i="1"/>
  <c r="L68" i="1" s="1"/>
  <c r="O8" i="2"/>
  <c r="O64" i="1"/>
  <c r="Q20" i="1" l="1"/>
  <c r="L10" i="2"/>
  <c r="M63" i="1"/>
  <c r="M68" i="1" s="1"/>
  <c r="P7" i="2"/>
  <c r="P48" i="1"/>
  <c r="P8" i="2" l="1"/>
  <c r="P64" i="1"/>
  <c r="N63" i="1"/>
  <c r="M10" i="2"/>
  <c r="D61" i="1"/>
  <c r="D9" i="2" l="1"/>
  <c r="D66" i="1"/>
  <c r="D67" i="1" s="1"/>
  <c r="O61" i="1"/>
  <c r="P61" i="1"/>
  <c r="N61" i="1"/>
  <c r="D65" i="1"/>
  <c r="Q53" i="1" l="1"/>
  <c r="S53" i="1" s="1"/>
  <c r="D68" i="1"/>
  <c r="D10" i="2" s="1"/>
  <c r="N65" i="1"/>
  <c r="N68" i="1" s="1"/>
  <c r="N9" i="2"/>
  <c r="P65" i="1"/>
  <c r="P9" i="2"/>
  <c r="O9" i="2"/>
  <c r="O65" i="1"/>
  <c r="N10" i="2" l="1"/>
  <c r="O63" i="1"/>
  <c r="O68" i="1" s="1"/>
  <c r="O10" i="2" l="1"/>
  <c r="P63" i="1"/>
  <c r="P68" i="1" s="1"/>
  <c r="P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 Wolff</author>
  </authors>
  <commentList>
    <comment ref="C5" authorId="0" shapeId="0" xr:uid="{00000000-0006-0000-0000-000001000000}">
      <text>
        <r>
          <rPr>
            <sz val="9"/>
            <color indexed="81"/>
            <rFont val="Tahoma"/>
            <family val="2"/>
          </rPr>
          <t xml:space="preserve">Budgeted enrollment numbers.
</t>
        </r>
      </text>
    </comment>
    <comment ref="D5" authorId="0" shapeId="0" xr:uid="{00000000-0006-0000-0000-000002000000}">
      <text>
        <r>
          <rPr>
            <sz val="9"/>
            <color indexed="81"/>
            <rFont val="Tahoma"/>
            <family val="2"/>
          </rPr>
          <t xml:space="preserve">Insert the Average FTE
here and update monthly.
</t>
        </r>
      </text>
    </comment>
    <comment ref="C7" authorId="0" shapeId="0" xr:uid="{00000000-0006-0000-0000-000003000000}">
      <text>
        <r>
          <rPr>
            <sz val="9"/>
            <color indexed="81"/>
            <rFont val="Tahoma"/>
            <family val="2"/>
          </rPr>
          <t>This column is your budgeted figures.  It would only change if you did a budget extension</t>
        </r>
      </text>
    </comment>
    <comment ref="D7" authorId="0" shapeId="0" xr:uid="{00000000-0006-0000-0000-000004000000}">
      <text>
        <r>
          <rPr>
            <sz val="9"/>
            <color indexed="81"/>
            <rFont val="Tahoma"/>
            <family val="2"/>
          </rPr>
          <t>Sept. through Dec. this will reflect budget.  Starting in January, use the apportionment figures.  Only revenue flowing through OSPI belongs in this area.</t>
        </r>
      </text>
    </comment>
    <comment ref="D51" authorId="0" shapeId="0" xr:uid="{00000000-0006-0000-0000-000006000000}">
      <text>
        <r>
          <rPr>
            <sz val="9"/>
            <color indexed="81"/>
            <rFont val="Tahoma"/>
            <family val="2"/>
          </rPr>
          <t xml:space="preserve">These columns should be adjusted as better estimates are determined.
</t>
        </r>
      </text>
    </comment>
    <comment ref="D63" authorId="0" shapeId="0" xr:uid="{00000000-0006-0000-0000-000007000000}">
      <text>
        <r>
          <rPr>
            <sz val="8"/>
            <color indexed="81"/>
            <rFont val="Tahoma"/>
            <family val="2"/>
          </rPr>
          <t xml:space="preserve">This number is your ending fund balance from the prior year's F196 report.
</t>
        </r>
      </text>
    </comment>
    <comment ref="B66" authorId="0" shapeId="0" xr:uid="{00000000-0006-0000-0000-000008000000}">
      <text>
        <r>
          <rPr>
            <sz val="9"/>
            <color indexed="81"/>
            <rFont val="Tahoma"/>
            <family val="2"/>
          </rPr>
          <t xml:space="preserve">Transfers and Redirections are not included in the expenditures.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Denise Wolff</author>
  </authors>
  <commentList>
    <comment ref="C4" authorId="0" shapeId="0" xr:uid="{00000000-0006-0000-0100-000001000000}">
      <text>
        <r>
          <rPr>
            <sz val="9"/>
            <color indexed="81"/>
            <rFont val="Tahoma"/>
            <family val="2"/>
          </rPr>
          <t xml:space="preserve">Budgeted enrollment numbers.
</t>
        </r>
      </text>
    </comment>
    <comment ref="D4" authorId="0" shapeId="0" xr:uid="{00000000-0006-0000-0100-000002000000}">
      <text>
        <r>
          <rPr>
            <sz val="9"/>
            <color indexed="81"/>
            <rFont val="Tahoma"/>
            <family val="2"/>
          </rPr>
          <t xml:space="preserve">Insert the Average FTE
here and update monthly.
</t>
        </r>
      </text>
    </comment>
    <comment ref="C6" authorId="0" shapeId="0" xr:uid="{00000000-0006-0000-0100-000003000000}">
      <text>
        <r>
          <rPr>
            <sz val="9"/>
            <color indexed="81"/>
            <rFont val="Tahoma"/>
            <family val="2"/>
          </rPr>
          <t>This column is your budgeted figures.  It would only change if you did a budget extension</t>
        </r>
      </text>
    </comment>
    <comment ref="D6" authorId="0" shapeId="0" xr:uid="{00000000-0006-0000-0100-000004000000}">
      <text>
        <r>
          <rPr>
            <sz val="9"/>
            <color indexed="81"/>
            <rFont val="Tahoma"/>
            <family val="2"/>
          </rPr>
          <t>Sept. through Dec. this will reflect budget.  Starting in January, use the apportionment figures.  Only revenue flowing through OSPI belongs in this area.</t>
        </r>
      </text>
    </comment>
  </commentList>
</comments>
</file>

<file path=xl/sharedStrings.xml><?xml version="1.0" encoding="utf-8"?>
<sst xmlns="http://schemas.openxmlformats.org/spreadsheetml/2006/main" count="222" uniqueCount="124">
  <si>
    <t>Total Revenues</t>
  </si>
  <si>
    <t>Food Serv</t>
  </si>
  <si>
    <t>January</t>
  </si>
  <si>
    <t>February</t>
  </si>
  <si>
    <t>March</t>
  </si>
  <si>
    <t>April</t>
  </si>
  <si>
    <t>Annual Amt.</t>
  </si>
  <si>
    <t>September</t>
  </si>
  <si>
    <t>October</t>
  </si>
  <si>
    <t>November</t>
  </si>
  <si>
    <t>December</t>
  </si>
  <si>
    <t>Breakfast</t>
  </si>
  <si>
    <t>May</t>
  </si>
  <si>
    <t>June</t>
  </si>
  <si>
    <t>July</t>
  </si>
  <si>
    <t>August</t>
  </si>
  <si>
    <t>Fed Title I-51</t>
  </si>
  <si>
    <t>Original Budget</t>
  </si>
  <si>
    <t>Expenditures</t>
  </si>
  <si>
    <t>4198-01</t>
  </si>
  <si>
    <t>4158-02</t>
  </si>
  <si>
    <t>4158-04</t>
  </si>
  <si>
    <t>APPORTIONMENT</t>
  </si>
  <si>
    <t>Regular Apportionment</t>
  </si>
  <si>
    <t>Apport Spec Ed</t>
  </si>
  <si>
    <t>Special Ed</t>
  </si>
  <si>
    <t>Learning Assist</t>
  </si>
  <si>
    <t>Teacher A P</t>
  </si>
  <si>
    <t>Prof Development</t>
  </si>
  <si>
    <t>4198-04</t>
  </si>
  <si>
    <t>Reduced Lunch</t>
  </si>
  <si>
    <t>Transportation</t>
  </si>
  <si>
    <t>Fed Special ED-24</t>
  </si>
  <si>
    <t>Fed Title II -52</t>
  </si>
  <si>
    <t>Current</t>
  </si>
  <si>
    <t>Grant</t>
  </si>
  <si>
    <t>4158-06</t>
  </si>
  <si>
    <t>Truancy</t>
  </si>
  <si>
    <t>4158-07</t>
  </si>
  <si>
    <t>Current Estimate</t>
  </si>
  <si>
    <t>2000 Local Deposits</t>
  </si>
  <si>
    <t>Plus Revenue</t>
  </si>
  <si>
    <t>Minus Expenditures</t>
  </si>
  <si>
    <t>Notes Specific to District's Balancing Process:</t>
  </si>
  <si>
    <t xml:space="preserve">Note:  </t>
  </si>
  <si>
    <t>Fund Balance Projection  (Apportionment Based)</t>
  </si>
  <si>
    <t>Check Total</t>
  </si>
  <si>
    <t>REVENUE</t>
  </si>
  <si>
    <t>ENROLLMENT</t>
  </si>
  <si>
    <t>Beginning Fund Balance</t>
  </si>
  <si>
    <t>June 6%</t>
  </si>
  <si>
    <t>August 10%</t>
  </si>
  <si>
    <t>December 9.%</t>
  </si>
  <si>
    <t>February 9.%</t>
  </si>
  <si>
    <t>March 9.%</t>
  </si>
  <si>
    <t>April 9.%</t>
  </si>
  <si>
    <t>September 9.%</t>
  </si>
  <si>
    <t>Each year, you must download a new sheet to have the coding populated for projections.</t>
  </si>
  <si>
    <t>Before you begin entering your monthly data, remove all the coding in the column and hard code your values.  Leaving a code in place would result in the code recalculating each time you Current column number changes.</t>
  </si>
  <si>
    <t>October 8.%</t>
  </si>
  <si>
    <t>January 8.5%</t>
  </si>
  <si>
    <t>May 5.0%</t>
  </si>
  <si>
    <t>July 12.5%</t>
  </si>
  <si>
    <t>November 5.%</t>
  </si>
  <si>
    <t>SY 2020-21</t>
  </si>
  <si>
    <t>* Each month, after January, review and update the current apportionment and revenue estimates to reflect your expected final amounts.</t>
  </si>
  <si>
    <t>* If you are a cash district, you need to recognize your carryover or recovery that appears on your January apportionment as an adjustment.  If you are accrual,  review how you recognized it in your year end adjustments.</t>
  </si>
  <si>
    <t>* Review expenditures monthly, using actual monthly expenditures to predict final expenditures.  Update the amount in the Current Estimate.  The formula will automatically fill in the remainder month's expenditure estimates.</t>
  </si>
  <si>
    <t>* Don't forget to consider adjusting expenditure entries such as commodities, when comparing expenditures to budget appropriation (expenditures) for possible budget extension requirements.</t>
  </si>
  <si>
    <t xml:space="preserve">Apportionment Totals- </t>
  </si>
  <si>
    <t xml:space="preserve">2300 Interest </t>
  </si>
  <si>
    <t>Line 002 F-197</t>
  </si>
  <si>
    <t xml:space="preserve"> Line 001 F-197</t>
  </si>
  <si>
    <t xml:space="preserve">Other deposits: </t>
  </si>
  <si>
    <t>Federal, State, Non SPI</t>
  </si>
  <si>
    <t>Adjustments</t>
  </si>
  <si>
    <t>Cancelled warrants</t>
  </si>
  <si>
    <t xml:space="preserve">Payroll - Certificated </t>
  </si>
  <si>
    <t>Object 2</t>
  </si>
  <si>
    <t xml:space="preserve">Payroll - Classified </t>
  </si>
  <si>
    <t>Object 3</t>
  </si>
  <si>
    <t xml:space="preserve">Benefits </t>
  </si>
  <si>
    <t>Object 4</t>
  </si>
  <si>
    <t xml:space="preserve">Accounts Payable </t>
  </si>
  <si>
    <t>Objects 5 through 9</t>
  </si>
  <si>
    <t>Other cash decreases</t>
  </si>
  <si>
    <t xml:space="preserve"> per county</t>
  </si>
  <si>
    <t xml:space="preserve">Total Expenditures  </t>
  </si>
  <si>
    <t>Transfers or</t>
  </si>
  <si>
    <t xml:space="preserve"> Redirection of Apportionment</t>
  </si>
  <si>
    <t xml:space="preserve">Plus or Minus </t>
  </si>
  <si>
    <t xml:space="preserve">Ending/Projected Fund Balance </t>
  </si>
  <si>
    <t>Balance to Budget Status Report</t>
  </si>
  <si>
    <t xml:space="preserve">Indicates Balance with system generated reports </t>
  </si>
  <si>
    <r>
      <rPr>
        <b/>
        <sz val="10"/>
        <rFont val="Arial"/>
        <family val="2"/>
      </rPr>
      <t>Indicates areas of input and updates</t>
    </r>
    <r>
      <rPr>
        <sz val="10"/>
        <rFont val="Arial"/>
        <family val="2"/>
      </rPr>
      <t xml:space="preserve"> </t>
    </r>
  </si>
  <si>
    <t xml:space="preserve">January apportionment projection </t>
  </si>
  <si>
    <t>Balance to Apportionment report</t>
  </si>
  <si>
    <t>ARP Fed Special ED-23</t>
  </si>
  <si>
    <t>ESSER II</t>
  </si>
  <si>
    <t>ESSER III</t>
  </si>
  <si>
    <t>ESSER III- Learning Loss</t>
  </si>
  <si>
    <t>3600/5500 Forest Money</t>
  </si>
  <si>
    <t>Line 030/034 F-197</t>
  </si>
  <si>
    <t>North River School District</t>
  </si>
  <si>
    <t>SY 2022-23</t>
  </si>
  <si>
    <t>SLFRF</t>
  </si>
  <si>
    <t>Commodities</t>
  </si>
  <si>
    <t>Supply chain Assistance</t>
  </si>
  <si>
    <t>Actual</t>
  </si>
  <si>
    <t>4198-06</t>
  </si>
  <si>
    <t>4198-07</t>
  </si>
  <si>
    <t>State CEP Copay Breakfast</t>
  </si>
  <si>
    <t>State CEP Copay Lunch</t>
  </si>
  <si>
    <t>6198-04</t>
  </si>
  <si>
    <t>School Breakfast Program</t>
  </si>
  <si>
    <t>School Lunch Program</t>
  </si>
  <si>
    <t xml:space="preserve">Local Receipt </t>
  </si>
  <si>
    <t>Difference from County</t>
  </si>
  <si>
    <t>Cash Outs</t>
  </si>
  <si>
    <t>CEP ESSER II BK</t>
  </si>
  <si>
    <t>CEP ESSER II Lunch</t>
  </si>
  <si>
    <t>ESSER II BK</t>
  </si>
  <si>
    <t>as of 09.06.23</t>
  </si>
  <si>
    <t xml:space="preserve">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</si>
</sst>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10"/>
      <name val="Tahoma"/>
      <family val="2"/>
    </font>
    <font>
      <b/>
      <sz val="10"/>
      <name val="Tahoma"/>
      <family val="2"/>
    </font>
    <font>
      <b/>
      <sz val="10"/>
      <name val="Arial"/>
      <family val="2"/>
    </font>
    <font>
      <b/>
      <i/>
      <sz val="10"/>
      <name val="Tahoma"/>
      <family val="2"/>
    </font>
    <font>
      <sz val="10"/>
      <name val="Arial"/>
      <family val="2"/>
    </font>
    <font>
      <b/>
      <sz val="10"/>
      <name val="Arial"/>
      <family val="2"/>
    </font>
    <font>
      <sz val="14"/>
      <name val="Arial"/>
      <family val="2"/>
    </font>
    <font>
      <sz val="9"/>
      <name val="Arial"/>
      <family val="2"/>
    </font>
    <font>
      <b/>
      <sz val="9"/>
      <name val="Arial"/>
      <family val="2"/>
    </font>
    <font>
      <i/>
      <sz val="9"/>
      <name val="Arial"/>
      <family val="2"/>
    </font>
    <font>
      <i/>
      <sz val="14"/>
      <name val="Arial"/>
      <family val="2"/>
    </font>
    <font>
      <b/>
      <i/>
      <sz val="10"/>
      <name val="Arial"/>
      <family val="2"/>
    </font>
    <font>
      <b/>
      <i/>
      <sz val="9"/>
      <name val="Arial"/>
      <family val="2"/>
    </font>
    <font>
      <b/>
      <sz val="12"/>
      <name val="Arial"/>
      <family val="2"/>
    </font>
    <font>
      <sz val="12"/>
      <name val="Arial"/>
      <family val="2"/>
    </font>
    <font>
      <sz val="8"/>
      <color indexed="81"/>
      <name val="Tahoma"/>
      <family val="2"/>
    </font>
    <font>
      <sz val="10"/>
      <color indexed="8"/>
      <name val="Tahoma"/>
      <family val="2"/>
    </font>
    <font>
      <sz val="9"/>
      <color indexed="81"/>
      <name val="Tahoma"/>
      <family val="2"/>
    </font>
    <font>
      <sz val="10"/>
      <color rgb="FF0000CC"/>
      <name val="Arial"/>
      <family val="2"/>
    </font>
    <font>
      <sz val="9"/>
      <color rgb="FF0000CC"/>
      <name val="Arial"/>
      <family val="2"/>
    </font>
    <font>
      <sz val="10"/>
      <color rgb="FF0070C0"/>
      <name val="Arial"/>
      <family val="2"/>
    </font>
    <font>
      <sz val="10"/>
      <color theme="0" tint="-0.499984740745262"/>
      <name val="Arial"/>
      <family val="2"/>
    </font>
    <font>
      <sz val="10"/>
      <color rgb="FF339933"/>
      <name val="Arial"/>
      <family val="2"/>
    </font>
    <font>
      <sz val="9"/>
      <color rgb="FF339933"/>
      <name val="Arial"/>
      <family val="2"/>
    </font>
    <font>
      <b/>
      <sz val="12"/>
      <color rgb="FF0000CC"/>
      <name val="Arial"/>
      <family val="2"/>
    </font>
    <font>
      <b/>
      <sz val="10"/>
      <color rgb="FFFF0000"/>
      <name val="Tahoma"/>
      <family val="2"/>
    </font>
    <font>
      <i/>
      <sz val="9"/>
      <color rgb="FFFF0000"/>
      <name val="Arial"/>
      <family val="2"/>
    </font>
    <font>
      <sz val="10"/>
      <color rgb="FFFF0000"/>
      <name val="Arial"/>
      <family val="2"/>
    </font>
    <font>
      <b/>
      <i/>
      <sz val="9"/>
      <color rgb="FFFF0000"/>
      <name val="Arial"/>
      <family val="2"/>
    </font>
    <font>
      <sz val="12"/>
      <name val="Tahoma"/>
      <family val="2"/>
    </font>
  </fonts>
  <fills count="8">
    <fill>
      <patternFill patternType="none"/>
    </fill>
    <fill>
      <patternFill patternType="gray125"/>
    </fill>
    <fill>
      <patternFill patternType="solid">
        <fgColor indexed="65"/>
        <bgColor indexed="64"/>
      </patternFill>
    </fill>
    <fill>
      <patternFill patternType="solid">
        <fgColor rgb="FFFFFFCC"/>
        <bgColor indexed="64"/>
      </patternFill>
    </fill>
    <fill>
      <patternFill patternType="solid">
        <fgColor rgb="FFFCD5B4"/>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28">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99">
    <xf numFmtId="0" fontId="0" fillId="0" borderId="0" xfId="0"/>
    <xf numFmtId="0" fontId="2" fillId="0" borderId="0" xfId="0" applyFont="1"/>
    <xf numFmtId="164" fontId="2" fillId="0" borderId="0" xfId="1" applyNumberFormat="1" applyFont="1"/>
    <xf numFmtId="43" fontId="2" fillId="0" borderId="0" xfId="0" applyNumberFormat="1" applyFont="1"/>
    <xf numFmtId="43" fontId="2" fillId="0" borderId="0" xfId="1" applyFont="1"/>
    <xf numFmtId="0" fontId="6" fillId="0" borderId="0" xfId="0" applyFont="1"/>
    <xf numFmtId="164" fontId="6" fillId="0" borderId="0" xfId="1" applyNumberFormat="1" applyFont="1"/>
    <xf numFmtId="0" fontId="7" fillId="0" borderId="0" xfId="0" applyFont="1"/>
    <xf numFmtId="43" fontId="6" fillId="0" borderId="0" xfId="0" applyNumberFormat="1" applyFont="1"/>
    <xf numFmtId="43" fontId="6" fillId="0" borderId="0" xfId="1" applyFont="1"/>
    <xf numFmtId="164" fontId="6" fillId="0" borderId="0" xfId="1" applyNumberFormat="1" applyFont="1" applyBorder="1"/>
    <xf numFmtId="43" fontId="6" fillId="0" borderId="0" xfId="1" applyFont="1" applyAlignment="1">
      <alignment horizontal="left" indent="1"/>
    </xf>
    <xf numFmtId="43" fontId="7" fillId="0" borderId="3" xfId="1" applyFont="1" applyFill="1" applyBorder="1"/>
    <xf numFmtId="4" fontId="6" fillId="0" borderId="0" xfId="1" applyNumberFormat="1" applyFont="1"/>
    <xf numFmtId="4" fontId="6" fillId="0" borderId="0" xfId="0" applyNumberFormat="1" applyFont="1"/>
    <xf numFmtId="4" fontId="2" fillId="0" borderId="0" xfId="0" applyNumberFormat="1" applyFont="1"/>
    <xf numFmtId="4" fontId="0" fillId="0" borderId="0" xfId="0" applyNumberFormat="1"/>
    <xf numFmtId="4" fontId="6" fillId="0" borderId="2" xfId="1" applyNumberFormat="1" applyFont="1" applyBorder="1"/>
    <xf numFmtId="4" fontId="6" fillId="0" borderId="2" xfId="0" applyNumberFormat="1" applyFont="1" applyBorder="1"/>
    <xf numFmtId="4" fontId="2" fillId="0" borderId="2" xfId="0" applyNumberFormat="1" applyFont="1" applyBorder="1"/>
    <xf numFmtId="0" fontId="16" fillId="0" borderId="0" xfId="0" applyFont="1"/>
    <xf numFmtId="164" fontId="16" fillId="0" borderId="0" xfId="1" applyNumberFormat="1" applyFont="1"/>
    <xf numFmtId="164" fontId="2" fillId="0" borderId="0" xfId="1" applyNumberFormat="1" applyFont="1" applyFill="1"/>
    <xf numFmtId="0" fontId="12" fillId="0" borderId="4" xfId="0" applyFont="1" applyBorder="1" applyAlignment="1">
      <alignment horizontal="center"/>
    </xf>
    <xf numFmtId="0" fontId="2" fillId="0" borderId="4" xfId="0" applyFont="1" applyBorder="1"/>
    <xf numFmtId="0" fontId="7" fillId="0" borderId="6" xfId="0" applyFont="1" applyBorder="1" applyAlignment="1">
      <alignment horizontal="center"/>
    </xf>
    <xf numFmtId="0" fontId="4" fillId="0" borderId="6" xfId="0" applyFont="1" applyBorder="1" applyAlignment="1">
      <alignment horizontal="center"/>
    </xf>
    <xf numFmtId="164" fontId="7" fillId="0" borderId="5" xfId="1" applyNumberFormat="1" applyFont="1" applyBorder="1" applyAlignment="1">
      <alignment horizontal="center"/>
    </xf>
    <xf numFmtId="164" fontId="7" fillId="0" borderId="6" xfId="1" applyNumberFormat="1"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1" fillId="0" borderId="0" xfId="0" applyFont="1"/>
    <xf numFmtId="0" fontId="3" fillId="0" borderId="0" xfId="0" applyFont="1" applyAlignment="1">
      <alignment horizontal="center"/>
    </xf>
    <xf numFmtId="4" fontId="23" fillId="0" borderId="0" xfId="0" applyNumberFormat="1" applyFont="1"/>
    <xf numFmtId="164" fontId="4" fillId="0" borderId="6" xfId="1" applyNumberFormat="1" applyFont="1" applyBorder="1" applyAlignment="1">
      <alignment horizontal="center"/>
    </xf>
    <xf numFmtId="164" fontId="7" fillId="2" borderId="3" xfId="1" applyNumberFormat="1" applyFont="1" applyFill="1" applyBorder="1" applyAlignment="1">
      <alignment horizontal="center"/>
    </xf>
    <xf numFmtId="43" fontId="7" fillId="2" borderId="13" xfId="1" applyFont="1" applyFill="1" applyBorder="1"/>
    <xf numFmtId="43" fontId="7" fillId="2" borderId="13" xfId="1" applyFont="1" applyFill="1" applyBorder="1" applyAlignment="1">
      <alignment horizontal="right"/>
    </xf>
    <xf numFmtId="17" fontId="7" fillId="3" borderId="3" xfId="1" applyNumberFormat="1" applyFont="1" applyFill="1" applyBorder="1" applyAlignment="1">
      <alignment horizontal="center"/>
    </xf>
    <xf numFmtId="43" fontId="7" fillId="3" borderId="13" xfId="1" applyFont="1" applyFill="1" applyBorder="1"/>
    <xf numFmtId="43" fontId="7" fillId="2" borderId="3" xfId="1" applyFont="1" applyFill="1" applyBorder="1"/>
    <xf numFmtId="164" fontId="6" fillId="2" borderId="0" xfId="1" applyNumberFormat="1" applyFont="1" applyFill="1"/>
    <xf numFmtId="164" fontId="7" fillId="3" borderId="13" xfId="1" applyNumberFormat="1" applyFont="1" applyFill="1" applyBorder="1"/>
    <xf numFmtId="164" fontId="7" fillId="2" borderId="1" xfId="1" applyNumberFormat="1" applyFont="1" applyFill="1" applyBorder="1"/>
    <xf numFmtId="0" fontId="12" fillId="2" borderId="4" xfId="0" applyFont="1" applyFill="1" applyBorder="1" applyAlignment="1">
      <alignment horizontal="center"/>
    </xf>
    <xf numFmtId="164" fontId="7" fillId="2" borderId="14" xfId="1" applyNumberFormat="1" applyFont="1" applyFill="1" applyBorder="1" applyAlignment="1">
      <alignment horizontal="center"/>
    </xf>
    <xf numFmtId="164" fontId="6" fillId="2" borderId="13" xfId="1" applyNumberFormat="1" applyFont="1" applyFill="1" applyBorder="1"/>
    <xf numFmtId="164" fontId="7" fillId="3" borderId="14" xfId="0" applyNumberFormat="1" applyFont="1" applyFill="1" applyBorder="1"/>
    <xf numFmtId="164" fontId="7" fillId="2" borderId="13" xfId="1" applyNumberFormat="1" applyFont="1" applyFill="1" applyBorder="1"/>
    <xf numFmtId="164" fontId="7" fillId="2" borderId="3" xfId="1" applyNumberFormat="1" applyFont="1" applyFill="1" applyBorder="1"/>
    <xf numFmtId="164" fontId="6" fillId="2" borderId="14" xfId="0" applyNumberFormat="1" applyFont="1" applyFill="1" applyBorder="1"/>
    <xf numFmtId="164" fontId="6" fillId="2" borderId="13" xfId="0" applyNumberFormat="1" applyFont="1" applyFill="1" applyBorder="1"/>
    <xf numFmtId="164" fontId="6" fillId="2" borderId="2" xfId="1" applyNumberFormat="1" applyFont="1" applyFill="1" applyBorder="1"/>
    <xf numFmtId="164" fontId="28" fillId="0" borderId="0" xfId="1" applyNumberFormat="1" applyFont="1" applyBorder="1"/>
    <xf numFmtId="164" fontId="29" fillId="0" borderId="0" xfId="1" applyNumberFormat="1" applyFont="1"/>
    <xf numFmtId="0" fontId="29" fillId="0" borderId="0" xfId="0" applyFont="1"/>
    <xf numFmtId="43" fontId="29" fillId="0" borderId="0" xfId="1" applyFont="1"/>
    <xf numFmtId="43" fontId="29" fillId="0" borderId="0" xfId="0" applyNumberFormat="1" applyFont="1"/>
    <xf numFmtId="0" fontId="16" fillId="0" borderId="0" xfId="0" applyFont="1" applyAlignment="1">
      <alignment wrapText="1"/>
    </xf>
    <xf numFmtId="0" fontId="22" fillId="0" borderId="0" xfId="0" applyFont="1" applyAlignment="1">
      <alignment wrapText="1"/>
    </xf>
    <xf numFmtId="20" fontId="4" fillId="0" borderId="0" xfId="0" applyNumberFormat="1" applyFont="1" applyAlignment="1">
      <alignment wrapText="1"/>
    </xf>
    <xf numFmtId="0" fontId="7" fillId="0" borderId="0" xfId="0" applyFont="1" applyAlignment="1">
      <alignment wrapText="1"/>
    </xf>
    <xf numFmtId="0" fontId="6"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9" fillId="0" borderId="0" xfId="0" applyFont="1" applyAlignment="1">
      <alignment wrapText="1"/>
    </xf>
    <xf numFmtId="0" fontId="2" fillId="0" borderId="0" xfId="0" applyFont="1" applyAlignment="1">
      <alignment wrapText="1"/>
    </xf>
    <xf numFmtId="0" fontId="12" fillId="0" borderId="2" xfId="0" applyFont="1" applyBorder="1" applyAlignment="1">
      <alignment horizontal="center" wrapText="1"/>
    </xf>
    <xf numFmtId="164" fontId="6" fillId="0" borderId="0" xfId="0" applyNumberFormat="1" applyFont="1" applyAlignment="1">
      <alignment wrapText="1"/>
    </xf>
    <xf numFmtId="0" fontId="11" fillId="0" borderId="0" xfId="0" applyFont="1" applyAlignment="1">
      <alignment wrapText="1"/>
    </xf>
    <xf numFmtId="0" fontId="28" fillId="0" borderId="0" xfId="0" applyFont="1" applyAlignment="1">
      <alignment wrapText="1"/>
    </xf>
    <xf numFmtId="0" fontId="0" fillId="0" borderId="0" xfId="0" applyAlignment="1">
      <alignment wrapText="1"/>
    </xf>
    <xf numFmtId="0" fontId="1" fillId="0" borderId="0" xfId="0" applyFont="1" applyAlignment="1">
      <alignment wrapText="1"/>
    </xf>
    <xf numFmtId="0" fontId="15" fillId="0" borderId="0" xfId="0" applyFont="1" applyAlignment="1">
      <alignment wrapText="1"/>
    </xf>
    <xf numFmtId="0" fontId="4" fillId="0" borderId="0" xfId="0" applyFont="1" applyAlignment="1">
      <alignment wrapText="1"/>
    </xf>
    <xf numFmtId="14" fontId="4" fillId="0" borderId="0" xfId="0" applyNumberFormat="1" applyFont="1" applyAlignment="1">
      <alignment wrapText="1"/>
    </xf>
    <xf numFmtId="0" fontId="6" fillId="0" borderId="0" xfId="0" applyFont="1" applyAlignment="1">
      <alignment horizontal="right" wrapText="1"/>
    </xf>
    <xf numFmtId="0" fontId="24" fillId="0" borderId="0" xfId="0" applyFont="1" applyAlignment="1">
      <alignment horizontal="left" wrapText="1"/>
    </xf>
    <xf numFmtId="0" fontId="20" fillId="0" borderId="0" xfId="0" applyFont="1" applyAlignment="1">
      <alignment horizontal="left" wrapText="1"/>
    </xf>
    <xf numFmtId="0" fontId="4" fillId="0" borderId="5" xfId="0" applyFont="1" applyBorder="1" applyAlignment="1">
      <alignment wrapText="1"/>
    </xf>
    <xf numFmtId="43" fontId="8" fillId="0" borderId="2" xfId="0" applyNumberFormat="1" applyFont="1" applyBorder="1" applyAlignment="1">
      <alignment horizontal="left" wrapText="1"/>
    </xf>
    <xf numFmtId="0" fontId="14" fillId="0" borderId="0" xfId="0" applyFont="1" applyAlignment="1">
      <alignment wrapText="1"/>
    </xf>
    <xf numFmtId="164" fontId="13" fillId="0" borderId="1" xfId="1" applyNumberFormat="1" applyFont="1" applyBorder="1" applyAlignment="1">
      <alignment wrapText="1"/>
    </xf>
    <xf numFmtId="0" fontId="13" fillId="0" borderId="1" xfId="0" applyFont="1" applyBorder="1" applyAlignment="1">
      <alignment horizontal="left" wrapText="1"/>
    </xf>
    <xf numFmtId="164" fontId="7" fillId="2" borderId="23" xfId="1" applyNumberFormat="1" applyFont="1" applyFill="1" applyBorder="1"/>
    <xf numFmtId="164" fontId="7" fillId="3" borderId="24" xfId="1" applyNumberFormat="1" applyFont="1" applyFill="1" applyBorder="1"/>
    <xf numFmtId="43" fontId="7" fillId="0" borderId="16" xfId="1" applyFont="1" applyBorder="1"/>
    <xf numFmtId="43" fontId="6" fillId="0" borderId="16" xfId="1" applyFont="1" applyBorder="1"/>
    <xf numFmtId="43" fontId="2" fillId="0" borderId="16" xfId="1" applyFont="1" applyBorder="1"/>
    <xf numFmtId="164" fontId="2" fillId="0" borderId="17" xfId="1" applyNumberFormat="1" applyFont="1" applyBorder="1"/>
    <xf numFmtId="164" fontId="6" fillId="2" borderId="18" xfId="1" applyNumberFormat="1" applyFont="1" applyFill="1" applyBorder="1"/>
    <xf numFmtId="164" fontId="2" fillId="0" borderId="0" xfId="1" applyNumberFormat="1" applyFont="1" applyBorder="1"/>
    <xf numFmtId="164" fontId="2" fillId="0" borderId="19" xfId="1" applyNumberFormat="1" applyFont="1" applyBorder="1"/>
    <xf numFmtId="2" fontId="6" fillId="0" borderId="0" xfId="0" applyNumberFormat="1" applyFont="1"/>
    <xf numFmtId="4" fontId="6" fillId="0" borderId="0" xfId="1" applyNumberFormat="1" applyFont="1" applyBorder="1"/>
    <xf numFmtId="4" fontId="2" fillId="0" borderId="0" xfId="1" applyNumberFormat="1" applyFont="1" applyBorder="1"/>
    <xf numFmtId="4" fontId="2" fillId="0" borderId="19" xfId="1" applyNumberFormat="1" applyFont="1" applyBorder="1"/>
    <xf numFmtId="164" fontId="6" fillId="2" borderId="20" xfId="1" applyNumberFormat="1" applyFont="1" applyFill="1" applyBorder="1"/>
    <xf numFmtId="164" fontId="6" fillId="0" borderId="21" xfId="1" applyNumberFormat="1" applyFont="1" applyBorder="1"/>
    <xf numFmtId="43" fontId="6" fillId="0" borderId="21" xfId="1" applyFont="1" applyBorder="1"/>
    <xf numFmtId="43" fontId="13" fillId="0" borderId="21" xfId="1" applyFont="1" applyBorder="1"/>
    <xf numFmtId="43" fontId="5" fillId="0" borderId="21" xfId="1" applyFont="1" applyBorder="1"/>
    <xf numFmtId="43" fontId="5" fillId="0" borderId="22" xfId="1" applyFont="1" applyBorder="1"/>
    <xf numFmtId="164" fontId="7" fillId="2" borderId="0" xfId="1" applyNumberFormat="1" applyFont="1" applyFill="1" applyBorder="1"/>
    <xf numFmtId="0" fontId="4" fillId="0" borderId="15" xfId="0" applyFont="1" applyBorder="1" applyAlignment="1">
      <alignment wrapText="1"/>
    </xf>
    <xf numFmtId="0" fontId="6" fillId="0" borderId="16" xfId="0" applyFont="1" applyBorder="1" applyAlignment="1">
      <alignment wrapText="1"/>
    </xf>
    <xf numFmtId="0" fontId="6" fillId="0" borderId="18" xfId="0" applyFont="1" applyBorder="1" applyAlignment="1">
      <alignment wrapText="1"/>
    </xf>
    <xf numFmtId="0" fontId="9" fillId="0" borderId="18" xfId="0" applyFont="1" applyBorder="1" applyAlignment="1">
      <alignment wrapText="1"/>
    </xf>
    <xf numFmtId="0" fontId="6" fillId="0" borderId="0" xfId="0" applyFont="1" applyAlignment="1">
      <alignment horizontal="left" wrapText="1"/>
    </xf>
    <xf numFmtId="0" fontId="1" fillId="0" borderId="18" xfId="0" applyFont="1" applyBorder="1" applyAlignment="1">
      <alignment wrapText="1"/>
    </xf>
    <xf numFmtId="0" fontId="13" fillId="0" borderId="26" xfId="0" applyFont="1" applyBorder="1" applyAlignment="1">
      <alignment horizontal="left" wrapText="1"/>
    </xf>
    <xf numFmtId="164" fontId="7" fillId="2" borderId="27" xfId="1" applyNumberFormat="1" applyFont="1" applyFill="1" applyBorder="1"/>
    <xf numFmtId="164" fontId="7" fillId="0" borderId="27" xfId="1" applyNumberFormat="1" applyFont="1" applyBorder="1"/>
    <xf numFmtId="0" fontId="30" fillId="0" borderId="0" xfId="0" applyFont="1"/>
    <xf numFmtId="164" fontId="2" fillId="0" borderId="0" xfId="1" applyNumberFormat="1" applyFont="1" applyAlignment="1"/>
    <xf numFmtId="0" fontId="2" fillId="3" borderId="3" xfId="0" applyFont="1" applyFill="1" applyBorder="1"/>
    <xf numFmtId="4" fontId="6" fillId="4" borderId="3" xfId="0" applyNumberFormat="1" applyFont="1" applyFill="1" applyBorder="1"/>
    <xf numFmtId="0" fontId="4" fillId="0" borderId="0" xfId="0" applyFont="1"/>
    <xf numFmtId="0" fontId="31" fillId="0" borderId="15" xfId="0" applyFont="1" applyBorder="1"/>
    <xf numFmtId="0" fontId="16" fillId="0" borderId="16" xfId="0" applyFont="1" applyBorder="1"/>
    <xf numFmtId="164" fontId="31" fillId="0" borderId="16" xfId="1" applyNumberFormat="1" applyFont="1" applyBorder="1" applyAlignment="1"/>
    <xf numFmtId="0" fontId="31" fillId="0" borderId="16" xfId="0" applyFont="1" applyBorder="1"/>
    <xf numFmtId="0" fontId="31" fillId="0" borderId="17" xfId="0" applyFont="1" applyBorder="1"/>
    <xf numFmtId="0" fontId="31" fillId="0" borderId="0" xfId="0" applyFont="1"/>
    <xf numFmtId="0" fontId="31" fillId="0" borderId="18" xfId="0" applyFont="1" applyBorder="1"/>
    <xf numFmtId="164" fontId="31" fillId="0" borderId="0" xfId="1" applyNumberFormat="1" applyFont="1" applyBorder="1" applyAlignment="1"/>
    <xf numFmtId="0" fontId="31" fillId="0" borderId="19" xfId="0" applyFont="1" applyBorder="1"/>
    <xf numFmtId="0" fontId="31" fillId="0" borderId="20" xfId="0" applyFont="1" applyBorder="1"/>
    <xf numFmtId="0" fontId="16" fillId="0" borderId="21" xfId="0" applyFont="1" applyBorder="1"/>
    <xf numFmtId="164" fontId="31" fillId="0" borderId="21" xfId="1" applyNumberFormat="1" applyFont="1" applyBorder="1" applyAlignment="1"/>
    <xf numFmtId="0" fontId="31" fillId="0" borderId="21" xfId="0" applyFont="1" applyBorder="1"/>
    <xf numFmtId="0" fontId="31" fillId="0" borderId="22" xfId="0" applyFont="1" applyBorder="1"/>
    <xf numFmtId="0" fontId="27" fillId="0" borderId="0" xfId="0" applyFont="1"/>
    <xf numFmtId="0" fontId="15" fillId="0" borderId="0" xfId="0" applyFont="1"/>
    <xf numFmtId="0" fontId="4" fillId="0" borderId="25" xfId="0" applyFont="1" applyBorder="1" applyAlignment="1">
      <alignment wrapText="1"/>
    </xf>
    <xf numFmtId="4" fontId="6" fillId="5" borderId="0" xfId="1" applyNumberFormat="1" applyFont="1" applyFill="1"/>
    <xf numFmtId="43" fontId="0" fillId="0" borderId="0" xfId="0" applyNumberFormat="1"/>
    <xf numFmtId="164" fontId="0" fillId="0" borderId="0" xfId="0" applyNumberFormat="1"/>
    <xf numFmtId="0" fontId="4" fillId="5" borderId="6" xfId="0" applyFont="1" applyFill="1" applyBorder="1" applyAlignment="1">
      <alignment horizontal="center"/>
    </xf>
    <xf numFmtId="0" fontId="6" fillId="5" borderId="0" xfId="0" applyFont="1" applyFill="1"/>
    <xf numFmtId="2" fontId="6" fillId="6" borderId="0" xfId="1" applyNumberFormat="1" applyFont="1" applyFill="1" applyBorder="1"/>
    <xf numFmtId="0" fontId="4" fillId="6" borderId="5" xfId="0" applyFont="1" applyFill="1" applyBorder="1" applyAlignment="1">
      <alignment horizontal="center"/>
    </xf>
    <xf numFmtId="0" fontId="4" fillId="6" borderId="6" xfId="0" applyFont="1" applyFill="1" applyBorder="1" applyAlignment="1">
      <alignment horizontal="center"/>
    </xf>
    <xf numFmtId="43" fontId="6" fillId="6" borderId="0" xfId="0" applyNumberFormat="1" applyFont="1" applyFill="1"/>
    <xf numFmtId="4" fontId="6" fillId="6" borderId="0" xfId="0" applyNumberFormat="1" applyFont="1" applyFill="1"/>
    <xf numFmtId="4" fontId="10" fillId="6" borderId="3" xfId="1" applyNumberFormat="1" applyFont="1" applyFill="1" applyBorder="1"/>
    <xf numFmtId="4" fontId="7" fillId="6" borderId="3" xfId="1" applyNumberFormat="1" applyFont="1" applyFill="1" applyBorder="1"/>
    <xf numFmtId="4" fontId="6" fillId="6" borderId="9" xfId="0" applyNumberFormat="1" applyFont="1" applyFill="1" applyBorder="1"/>
    <xf numFmtId="4" fontId="2" fillId="6" borderId="0" xfId="0" applyNumberFormat="1" applyFont="1" applyFill="1"/>
    <xf numFmtId="4" fontId="6" fillId="6" borderId="9" xfId="1" applyNumberFormat="1" applyFont="1" applyFill="1" applyBorder="1"/>
    <xf numFmtId="4" fontId="6" fillId="6" borderId="0" xfId="1" applyNumberFormat="1" applyFont="1" applyFill="1" applyBorder="1"/>
    <xf numFmtId="4" fontId="9" fillId="6" borderId="9" xfId="0" applyNumberFormat="1" applyFont="1" applyFill="1" applyBorder="1"/>
    <xf numFmtId="4" fontId="9" fillId="6" borderId="0" xfId="0" applyNumberFormat="1" applyFont="1" applyFill="1"/>
    <xf numFmtId="4" fontId="6" fillId="6" borderId="11" xfId="1" applyNumberFormat="1" applyFont="1" applyFill="1" applyBorder="1"/>
    <xf numFmtId="4" fontId="6" fillId="6" borderId="2" xfId="1" applyNumberFormat="1" applyFont="1" applyFill="1" applyBorder="1"/>
    <xf numFmtId="4" fontId="6" fillId="6" borderId="2" xfId="0" applyNumberFormat="1" applyFont="1" applyFill="1" applyBorder="1"/>
    <xf numFmtId="4" fontId="2" fillId="6" borderId="2" xfId="0" applyNumberFormat="1" applyFont="1" applyFill="1" applyBorder="1"/>
    <xf numFmtId="4" fontId="7" fillId="6" borderId="1" xfId="1" applyNumberFormat="1" applyFont="1" applyFill="1" applyBorder="1"/>
    <xf numFmtId="164" fontId="7" fillId="6" borderId="5" xfId="1" applyNumberFormat="1" applyFont="1" applyFill="1" applyBorder="1" applyAlignment="1">
      <alignment horizontal="center"/>
    </xf>
    <xf numFmtId="164" fontId="7" fillId="6" borderId="6" xfId="1" applyNumberFormat="1" applyFont="1" applyFill="1" applyBorder="1" applyAlignment="1">
      <alignment horizontal="center"/>
    </xf>
    <xf numFmtId="4" fontId="2" fillId="6" borderId="7" xfId="0" applyNumberFormat="1" applyFont="1" applyFill="1" applyBorder="1"/>
    <xf numFmtId="4" fontId="2" fillId="6" borderId="4" xfId="0" applyNumberFormat="1" applyFont="1" applyFill="1" applyBorder="1"/>
    <xf numFmtId="4" fontId="2" fillId="6" borderId="9" xfId="0" applyNumberFormat="1" applyFont="1" applyFill="1" applyBorder="1"/>
    <xf numFmtId="4" fontId="2" fillId="6" borderId="11" xfId="0" applyNumberFormat="1" applyFont="1" applyFill="1" applyBorder="1"/>
    <xf numFmtId="164" fontId="7" fillId="6" borderId="27" xfId="1" applyNumberFormat="1" applyFont="1" applyFill="1" applyBorder="1"/>
    <xf numFmtId="43" fontId="6" fillId="7" borderId="0" xfId="1" applyFont="1" applyFill="1" applyBorder="1"/>
    <xf numFmtId="43" fontId="1" fillId="7" borderId="0" xfId="1" applyFont="1" applyFill="1" applyBorder="1"/>
    <xf numFmtId="43" fontId="6" fillId="6" borderId="0" xfId="1" applyFont="1" applyFill="1" applyBorder="1"/>
    <xf numFmtId="0" fontId="1" fillId="0" borderId="7" xfId="0" applyFont="1" applyBorder="1" applyAlignment="1">
      <alignment wrapText="1"/>
    </xf>
    <xf numFmtId="0" fontId="6" fillId="0" borderId="4" xfId="0" applyFont="1" applyBorder="1" applyAlignment="1">
      <alignment wrapText="1"/>
    </xf>
    <xf numFmtId="164" fontId="7" fillId="3" borderId="8" xfId="0" applyNumberFormat="1" applyFont="1" applyFill="1" applyBorder="1"/>
    <xf numFmtId="0" fontId="1" fillId="0" borderId="9" xfId="0" applyFont="1" applyBorder="1" applyAlignment="1">
      <alignment wrapText="1"/>
    </xf>
    <xf numFmtId="164" fontId="7" fillId="3" borderId="10" xfId="0" applyNumberFormat="1" applyFont="1" applyFill="1" applyBorder="1"/>
    <xf numFmtId="164" fontId="6" fillId="2" borderId="14" xfId="1" applyNumberFormat="1" applyFont="1" applyFill="1" applyBorder="1"/>
    <xf numFmtId="0" fontId="4" fillId="6" borderId="5" xfId="0" applyFont="1" applyFill="1" applyBorder="1" applyAlignment="1">
      <alignment wrapText="1"/>
    </xf>
    <xf numFmtId="0" fontId="4" fillId="6" borderId="25" xfId="0" applyFont="1" applyFill="1" applyBorder="1" applyAlignment="1">
      <alignment wrapText="1"/>
    </xf>
    <xf numFmtId="0" fontId="2" fillId="6" borderId="3" xfId="0" applyFont="1" applyFill="1" applyBorder="1"/>
    <xf numFmtId="2" fontId="6" fillId="6" borderId="0" xfId="0" applyNumberFormat="1" applyFont="1" applyFill="1"/>
    <xf numFmtId="164" fontId="6" fillId="6" borderId="0" xfId="1" applyNumberFormat="1" applyFont="1" applyFill="1" applyBorder="1"/>
    <xf numFmtId="2" fontId="2" fillId="6" borderId="0" xfId="0" applyNumberFormat="1" applyFont="1" applyFill="1"/>
    <xf numFmtId="43" fontId="2" fillId="6" borderId="0" xfId="0" applyNumberFormat="1" applyFont="1" applyFill="1"/>
    <xf numFmtId="4" fontId="3" fillId="6" borderId="3" xfId="1" applyNumberFormat="1" applyFont="1" applyFill="1" applyBorder="1"/>
    <xf numFmtId="164" fontId="3" fillId="6" borderId="6" xfId="1" applyNumberFormat="1" applyFont="1" applyFill="1" applyBorder="1" applyAlignment="1">
      <alignment horizontal="center"/>
    </xf>
    <xf numFmtId="164" fontId="3" fillId="6" borderId="27" xfId="1" applyNumberFormat="1" applyFont="1" applyFill="1" applyBorder="1"/>
    <xf numFmtId="39" fontId="18" fillId="6" borderId="0" xfId="0" applyNumberFormat="1" applyFont="1" applyFill="1"/>
    <xf numFmtId="39" fontId="18" fillId="6" borderId="0" xfId="0" applyNumberFormat="1" applyFont="1" applyFill="1" applyAlignment="1">
      <alignment horizontal="right"/>
    </xf>
    <xf numFmtId="164" fontId="7" fillId="3" borderId="3" xfId="1" applyNumberFormat="1" applyFont="1" applyFill="1" applyBorder="1"/>
    <xf numFmtId="0" fontId="2" fillId="6" borderId="0" xfId="0" applyFont="1" applyFill="1"/>
    <xf numFmtId="0" fontId="4" fillId="6" borderId="1" xfId="0" applyFont="1" applyFill="1" applyBorder="1" applyAlignment="1">
      <alignment horizontal="center"/>
    </xf>
    <xf numFmtId="43" fontId="2" fillId="6" borderId="8" xfId="0" applyNumberFormat="1" applyFont="1" applyFill="1" applyBorder="1"/>
    <xf numFmtId="39" fontId="18" fillId="6" borderId="10" xfId="0" applyNumberFormat="1" applyFont="1" applyFill="1" applyBorder="1"/>
    <xf numFmtId="39" fontId="18" fillId="6" borderId="10" xfId="0" applyNumberFormat="1" applyFont="1" applyFill="1" applyBorder="1" applyAlignment="1">
      <alignment horizontal="right"/>
    </xf>
    <xf numFmtId="4" fontId="2" fillId="6" borderId="10" xfId="0" applyNumberFormat="1" applyFont="1" applyFill="1" applyBorder="1"/>
    <xf numFmtId="4" fontId="2" fillId="6" borderId="12" xfId="0" applyNumberFormat="1" applyFont="1" applyFill="1" applyBorder="1"/>
    <xf numFmtId="0" fontId="4" fillId="6" borderId="0" xfId="0" applyFont="1" applyFill="1" applyBorder="1" applyAlignment="1">
      <alignment horizontal="center"/>
    </xf>
    <xf numFmtId="164" fontId="3" fillId="6" borderId="1" xfId="1" applyNumberFormat="1" applyFont="1" applyFill="1" applyBorder="1" applyAlignment="1">
      <alignment horizontal="center"/>
    </xf>
    <xf numFmtId="39" fontId="18" fillId="6" borderId="12" xfId="0" applyNumberFormat="1" applyFont="1" applyFill="1" applyBorder="1"/>
    <xf numFmtId="164" fontId="3" fillId="6" borderId="22" xfId="1" applyNumberFormat="1" applyFont="1" applyFill="1" applyBorder="1"/>
    <xf numFmtId="0" fontId="26" fillId="0" borderId="0" xfId="0" applyFont="1" applyAlignment="1">
      <alignment horizontal="left"/>
    </xf>
  </cellXfs>
  <cellStyles count="2">
    <cellStyle name="Comma" xfId="1" builtinId="3"/>
    <cellStyle name="Normal" xfId="0" builtinId="0"/>
  </cellStyles>
  <dxfs count="2">
    <dxf>
      <font>
        <color rgb="FFFF0000"/>
      </font>
    </dxf>
    <dxf>
      <font>
        <color rgb="FFFF000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1"/>
  <sheetViews>
    <sheetView showGridLines="0" tabSelected="1" zoomScale="90" zoomScaleNormal="90" workbookViewId="0">
      <selection activeCell="I2" sqref="I2"/>
    </sheetView>
  </sheetViews>
  <sheetFormatPr defaultColWidth="9.140625" defaultRowHeight="12.75" x14ac:dyDescent="0.2"/>
  <cols>
    <col min="1" max="1" width="18.140625" style="66" customWidth="1"/>
    <col min="2" max="2" width="30.42578125" style="66" customWidth="1"/>
    <col min="3" max="3" width="17.7109375" style="2" bestFit="1" customWidth="1"/>
    <col min="4" max="4" width="19.7109375" style="2" bestFit="1" customWidth="1"/>
    <col min="5" max="5" width="15.85546875" style="2" bestFit="1" customWidth="1"/>
    <col min="6" max="6" width="14.7109375" style="2" bestFit="1" customWidth="1"/>
    <col min="7" max="7" width="13.7109375" style="2" bestFit="1" customWidth="1"/>
    <col min="8" max="8" width="17" style="2" customWidth="1"/>
    <col min="9" max="13" width="17.42578125" style="1" bestFit="1" customWidth="1"/>
    <col min="14" max="16" width="16.140625" style="1" bestFit="1" customWidth="1"/>
    <col min="17" max="17" width="15" bestFit="1" customWidth="1"/>
    <col min="18" max="30" width="9.140625" customWidth="1"/>
    <col min="31" max="16384" width="9.140625" style="1"/>
  </cols>
  <sheetData>
    <row r="1" spans="1:19" ht="15.75" x14ac:dyDescent="0.25">
      <c r="A1" s="198" t="s">
        <v>103</v>
      </c>
      <c r="B1" s="198"/>
      <c r="C1" s="198"/>
      <c r="D1" s="198"/>
      <c r="E1" s="198"/>
      <c r="F1" s="198"/>
      <c r="G1" s="198"/>
      <c r="H1" s="198"/>
      <c r="I1" s="198"/>
      <c r="J1" s="198"/>
      <c r="K1" s="198"/>
      <c r="L1" s="198"/>
    </row>
    <row r="2" spans="1:19" ht="15.75" x14ac:dyDescent="0.25">
      <c r="A2" s="133" t="s">
        <v>45</v>
      </c>
      <c r="B2" s="58"/>
      <c r="C2" s="21"/>
      <c r="D2" s="21"/>
      <c r="E2" s="21"/>
      <c r="F2" s="21"/>
      <c r="G2" s="21"/>
      <c r="H2" s="21"/>
      <c r="I2" s="20"/>
      <c r="J2" s="20"/>
      <c r="K2" s="20"/>
      <c r="L2" s="20"/>
    </row>
    <row r="3" spans="1:19" ht="15.75" x14ac:dyDescent="0.25">
      <c r="A3" s="73"/>
      <c r="B3" s="58"/>
      <c r="C3" s="21"/>
      <c r="D3" s="21"/>
      <c r="E3" s="21"/>
      <c r="F3" s="21"/>
      <c r="G3" s="21"/>
      <c r="H3" s="21"/>
      <c r="I3" s="20"/>
      <c r="J3" s="20"/>
      <c r="K3" s="20"/>
      <c r="L3" s="20"/>
    </row>
    <row r="4" spans="1:19" ht="15.75" x14ac:dyDescent="0.25">
      <c r="A4" s="73"/>
      <c r="B4" s="58"/>
      <c r="C4" s="27" t="s">
        <v>17</v>
      </c>
      <c r="D4" s="28" t="s">
        <v>22</v>
      </c>
      <c r="E4" s="28" t="s">
        <v>7</v>
      </c>
      <c r="F4" s="28" t="s">
        <v>8</v>
      </c>
      <c r="G4" s="28" t="s">
        <v>9</v>
      </c>
      <c r="H4" s="28" t="s">
        <v>10</v>
      </c>
      <c r="I4" s="25" t="s">
        <v>2</v>
      </c>
      <c r="J4" s="25" t="s">
        <v>3</v>
      </c>
      <c r="K4" s="25" t="s">
        <v>4</v>
      </c>
      <c r="L4" s="25" t="s">
        <v>5</v>
      </c>
      <c r="M4" s="29" t="s">
        <v>12</v>
      </c>
      <c r="N4" s="29" t="s">
        <v>13</v>
      </c>
      <c r="O4" s="29" t="s">
        <v>14</v>
      </c>
      <c r="P4" s="30" t="s">
        <v>15</v>
      </c>
    </row>
    <row r="5" spans="1:19" x14ac:dyDescent="0.2">
      <c r="A5" s="74" t="s">
        <v>48</v>
      </c>
      <c r="B5" s="59"/>
      <c r="C5" s="165">
        <v>78.5</v>
      </c>
      <c r="D5" s="166">
        <v>72.069999999999993</v>
      </c>
      <c r="E5" s="140">
        <v>70</v>
      </c>
      <c r="F5" s="140">
        <v>70</v>
      </c>
      <c r="G5" s="140">
        <v>73</v>
      </c>
      <c r="H5" s="140">
        <v>72</v>
      </c>
      <c r="I5" s="140">
        <v>72</v>
      </c>
      <c r="J5" s="177">
        <v>76</v>
      </c>
      <c r="K5" s="177">
        <v>73</v>
      </c>
      <c r="L5" s="177">
        <v>64</v>
      </c>
      <c r="M5" s="179">
        <v>61</v>
      </c>
      <c r="N5" s="179">
        <v>61</v>
      </c>
      <c r="O5" s="179">
        <v>0</v>
      </c>
      <c r="P5" s="187">
        <v>0</v>
      </c>
    </row>
    <row r="6" spans="1:19" x14ac:dyDescent="0.2">
      <c r="A6" s="75" t="s">
        <v>47</v>
      </c>
      <c r="B6" s="60" t="s">
        <v>104</v>
      </c>
      <c r="C6" s="27" t="s">
        <v>17</v>
      </c>
      <c r="D6" s="28" t="s">
        <v>22</v>
      </c>
      <c r="E6" s="34" t="s">
        <v>56</v>
      </c>
      <c r="F6" s="34" t="s">
        <v>59</v>
      </c>
      <c r="G6" s="34" t="s">
        <v>63</v>
      </c>
      <c r="H6" s="34" t="s">
        <v>52</v>
      </c>
      <c r="I6" s="26" t="s">
        <v>60</v>
      </c>
      <c r="J6" s="138" t="s">
        <v>53</v>
      </c>
      <c r="K6" s="26" t="s">
        <v>54</v>
      </c>
      <c r="L6" s="26" t="s">
        <v>55</v>
      </c>
      <c r="M6" s="29" t="s">
        <v>61</v>
      </c>
      <c r="N6" s="29" t="s">
        <v>50</v>
      </c>
      <c r="O6" s="29" t="s">
        <v>62</v>
      </c>
      <c r="P6" s="30" t="s">
        <v>51</v>
      </c>
      <c r="Q6" s="32" t="s">
        <v>46</v>
      </c>
    </row>
    <row r="7" spans="1:19" x14ac:dyDescent="0.2">
      <c r="A7" s="62"/>
      <c r="B7" s="61"/>
      <c r="C7" s="35" t="s">
        <v>6</v>
      </c>
      <c r="D7" s="38" t="s">
        <v>34</v>
      </c>
      <c r="E7" s="141" t="s">
        <v>108</v>
      </c>
      <c r="F7" s="142" t="s">
        <v>108</v>
      </c>
      <c r="G7" s="142" t="s">
        <v>108</v>
      </c>
      <c r="H7" s="142" t="s">
        <v>108</v>
      </c>
      <c r="I7" s="142" t="s">
        <v>108</v>
      </c>
      <c r="J7" s="142" t="s">
        <v>108</v>
      </c>
      <c r="K7" s="142" t="s">
        <v>108</v>
      </c>
      <c r="L7" s="142" t="s">
        <v>108</v>
      </c>
      <c r="M7" s="142" t="s">
        <v>108</v>
      </c>
      <c r="N7" s="142" t="s">
        <v>108</v>
      </c>
      <c r="O7" s="142" t="s">
        <v>108</v>
      </c>
      <c r="P7" s="188" t="s">
        <v>108</v>
      </c>
    </row>
    <row r="8" spans="1:19" x14ac:dyDescent="0.2">
      <c r="A8" s="76"/>
      <c r="B8" s="62"/>
      <c r="C8" s="36"/>
      <c r="D8" s="39"/>
      <c r="E8" s="143"/>
      <c r="F8" s="143"/>
      <c r="G8" s="143"/>
      <c r="H8" s="143"/>
      <c r="I8" s="143"/>
      <c r="J8" s="143"/>
      <c r="K8" s="143"/>
      <c r="L8" s="143"/>
      <c r="M8" s="180"/>
      <c r="N8" s="180"/>
      <c r="O8" s="180"/>
      <c r="P8" s="189"/>
    </row>
    <row r="9" spans="1:19" x14ac:dyDescent="0.2">
      <c r="A9" s="77">
        <v>3100</v>
      </c>
      <c r="B9" s="63" t="s">
        <v>23</v>
      </c>
      <c r="C9" s="36">
        <v>2048138</v>
      </c>
      <c r="D9" s="39">
        <f>2054572.92+84.58</f>
        <v>2054657.5</v>
      </c>
      <c r="E9" s="144">
        <v>184239.25</v>
      </c>
      <c r="F9" s="144">
        <v>163768.22</v>
      </c>
      <c r="G9" s="144">
        <v>102355.14</v>
      </c>
      <c r="H9" s="144">
        <v>184239.25</v>
      </c>
      <c r="I9" s="144">
        <v>178022.59</v>
      </c>
      <c r="J9" s="144">
        <v>185362.4</v>
      </c>
      <c r="K9" s="144">
        <v>185237.92</v>
      </c>
      <c r="L9" s="144">
        <v>184196.36</v>
      </c>
      <c r="M9" s="148">
        <v>102298.26</v>
      </c>
      <c r="N9" s="148">
        <v>122574.62</v>
      </c>
      <c r="O9" s="184">
        <v>256906.2</v>
      </c>
      <c r="P9" s="190">
        <v>205457.29</v>
      </c>
      <c r="Q9" s="33">
        <f>SUM(E9:P9)</f>
        <v>2054657.4999999998</v>
      </c>
      <c r="S9" s="136"/>
    </row>
    <row r="10" spans="1:19" x14ac:dyDescent="0.2">
      <c r="A10" s="77">
        <v>3121</v>
      </c>
      <c r="B10" s="63" t="s">
        <v>24</v>
      </c>
      <c r="C10" s="36">
        <v>3968</v>
      </c>
      <c r="D10" s="39">
        <v>5414.06</v>
      </c>
      <c r="E10" s="144">
        <v>357.15</v>
      </c>
      <c r="F10" s="144">
        <v>317.45999999999998</v>
      </c>
      <c r="G10" s="144">
        <v>198.42</v>
      </c>
      <c r="H10" s="144">
        <v>357.15</v>
      </c>
      <c r="I10" s="144">
        <v>548.69000000000005</v>
      </c>
      <c r="J10" s="144">
        <v>463.76</v>
      </c>
      <c r="K10" s="144">
        <v>459.21</v>
      </c>
      <c r="L10" s="144">
        <v>949.97</v>
      </c>
      <c r="M10" s="148">
        <v>242.81</v>
      </c>
      <c r="N10" s="148">
        <v>301.27999999999997</v>
      </c>
      <c r="O10" s="184">
        <v>676.75</v>
      </c>
      <c r="P10" s="190">
        <v>541.41</v>
      </c>
      <c r="Q10" s="33">
        <f t="shared" ref="Q10:Q37" si="0">SUM(E10:P10)</f>
        <v>5414.06</v>
      </c>
      <c r="S10" s="136"/>
    </row>
    <row r="11" spans="1:19" x14ac:dyDescent="0.2">
      <c r="A11" s="77">
        <v>4121</v>
      </c>
      <c r="B11" s="63" t="s">
        <v>25</v>
      </c>
      <c r="C11" s="36">
        <v>64090</v>
      </c>
      <c r="D11" s="39">
        <v>87332.07</v>
      </c>
      <c r="E11" s="144">
        <v>5768.54</v>
      </c>
      <c r="F11" s="144">
        <v>5127.6000000000004</v>
      </c>
      <c r="G11" s="144">
        <v>3204.75</v>
      </c>
      <c r="H11" s="144">
        <v>5768.54</v>
      </c>
      <c r="I11" s="144">
        <v>8861.7999999999993</v>
      </c>
      <c r="J11" s="144">
        <v>7490.56</v>
      </c>
      <c r="K11" s="144">
        <v>7416.96</v>
      </c>
      <c r="L11" s="144">
        <v>15246.2</v>
      </c>
      <c r="M11" s="148">
        <v>3927.48</v>
      </c>
      <c r="N11" s="148">
        <v>4869.92</v>
      </c>
      <c r="O11" s="184">
        <v>10916.51</v>
      </c>
      <c r="P11" s="190">
        <v>8733.2099999999991</v>
      </c>
      <c r="Q11" s="33">
        <f t="shared" si="0"/>
        <v>87332.07</v>
      </c>
      <c r="S11" s="136"/>
    </row>
    <row r="12" spans="1:19" x14ac:dyDescent="0.2">
      <c r="A12" s="77">
        <v>4155</v>
      </c>
      <c r="B12" s="63" t="s">
        <v>26</v>
      </c>
      <c r="C12" s="36">
        <v>61759</v>
      </c>
      <c r="D12" s="39">
        <v>60517.74</v>
      </c>
      <c r="E12" s="144">
        <v>5446.6</v>
      </c>
      <c r="F12" s="144">
        <v>4841.42</v>
      </c>
      <c r="G12" s="144">
        <v>3025.88</v>
      </c>
      <c r="H12" s="144">
        <v>5446.6</v>
      </c>
      <c r="I12" s="144">
        <v>5144.01</v>
      </c>
      <c r="J12" s="144">
        <v>5446.59</v>
      </c>
      <c r="K12" s="144">
        <v>5446.6</v>
      </c>
      <c r="L12" s="144">
        <v>5446.6</v>
      </c>
      <c r="M12" s="148">
        <v>3025.88</v>
      </c>
      <c r="N12" s="148">
        <v>3631.07</v>
      </c>
      <c r="O12" s="184">
        <v>7564.72</v>
      </c>
      <c r="P12" s="190">
        <v>6051.77</v>
      </c>
      <c r="Q12" s="33">
        <f t="shared" si="0"/>
        <v>60517.740000000005</v>
      </c>
      <c r="S12" s="136"/>
    </row>
    <row r="13" spans="1:19" x14ac:dyDescent="0.2">
      <c r="A13" s="77" t="s">
        <v>20</v>
      </c>
      <c r="B13" s="63" t="s">
        <v>27</v>
      </c>
      <c r="C13" s="36">
        <v>0</v>
      </c>
      <c r="D13" s="39">
        <v>0</v>
      </c>
      <c r="E13" s="144">
        <v>0</v>
      </c>
      <c r="F13" s="144">
        <v>0</v>
      </c>
      <c r="G13" s="144">
        <v>0</v>
      </c>
      <c r="H13" s="144">
        <v>0</v>
      </c>
      <c r="I13" s="144">
        <v>0</v>
      </c>
      <c r="J13" s="144">
        <v>0</v>
      </c>
      <c r="K13" s="144">
        <v>0</v>
      </c>
      <c r="L13" s="144">
        <v>0</v>
      </c>
      <c r="M13" s="144">
        <v>0</v>
      </c>
      <c r="N13" s="144">
        <v>0</v>
      </c>
      <c r="O13" s="184">
        <v>0</v>
      </c>
      <c r="P13" s="190">
        <v>0</v>
      </c>
      <c r="Q13" s="33">
        <f t="shared" si="0"/>
        <v>0</v>
      </c>
      <c r="S13" s="136"/>
    </row>
    <row r="14" spans="1:19" x14ac:dyDescent="0.2">
      <c r="A14" s="77" t="s">
        <v>21</v>
      </c>
      <c r="B14" s="63" t="s">
        <v>35</v>
      </c>
      <c r="C14" s="36">
        <v>0</v>
      </c>
      <c r="D14" s="39">
        <v>177480</v>
      </c>
      <c r="E14" s="144">
        <v>0</v>
      </c>
      <c r="F14" s="144">
        <v>0</v>
      </c>
      <c r="G14" s="144">
        <v>2811.94</v>
      </c>
      <c r="H14" s="144">
        <v>50280.44</v>
      </c>
      <c r="I14" s="144">
        <v>0</v>
      </c>
      <c r="J14" s="144">
        <v>13873.1</v>
      </c>
      <c r="K14" s="144">
        <v>786.06</v>
      </c>
      <c r="L14" s="144">
        <v>0</v>
      </c>
      <c r="M14" s="144">
        <v>0</v>
      </c>
      <c r="N14" s="144">
        <v>76989.13</v>
      </c>
      <c r="O14" s="184">
        <v>30739.33</v>
      </c>
      <c r="P14" s="190">
        <v>0</v>
      </c>
      <c r="Q14" s="33">
        <f t="shared" si="0"/>
        <v>175480</v>
      </c>
      <c r="S14" s="136"/>
    </row>
    <row r="15" spans="1:19" x14ac:dyDescent="0.2">
      <c r="A15" s="77" t="s">
        <v>36</v>
      </c>
      <c r="B15" s="63" t="s">
        <v>37</v>
      </c>
      <c r="C15" s="36">
        <v>0</v>
      </c>
      <c r="D15" s="39">
        <v>0</v>
      </c>
      <c r="E15" s="144">
        <v>0</v>
      </c>
      <c r="F15" s="144">
        <v>0</v>
      </c>
      <c r="G15" s="144">
        <v>0</v>
      </c>
      <c r="H15" s="144">
        <v>0</v>
      </c>
      <c r="I15" s="144">
        <v>0</v>
      </c>
      <c r="J15" s="144">
        <v>0</v>
      </c>
      <c r="K15" s="144">
        <v>0</v>
      </c>
      <c r="L15" s="144">
        <v>0</v>
      </c>
      <c r="M15" s="144">
        <v>0</v>
      </c>
      <c r="N15" s="144">
        <v>0</v>
      </c>
      <c r="O15" s="184">
        <v>0</v>
      </c>
      <c r="P15" s="190">
        <v>0</v>
      </c>
      <c r="Q15" s="33">
        <f t="shared" si="0"/>
        <v>0</v>
      </c>
      <c r="S15" s="136"/>
    </row>
    <row r="16" spans="1:19" x14ac:dyDescent="0.2">
      <c r="A16" s="77" t="s">
        <v>38</v>
      </c>
      <c r="B16" s="63" t="s">
        <v>35</v>
      </c>
      <c r="C16" s="36">
        <v>0</v>
      </c>
      <c r="D16" s="39">
        <v>0</v>
      </c>
      <c r="E16" s="144">
        <v>0</v>
      </c>
      <c r="F16" s="144">
        <v>0</v>
      </c>
      <c r="G16" s="144">
        <v>0</v>
      </c>
      <c r="H16" s="144">
        <v>0</v>
      </c>
      <c r="I16" s="144">
        <v>0</v>
      </c>
      <c r="J16" s="144">
        <v>0</v>
      </c>
      <c r="K16" s="144">
        <v>0</v>
      </c>
      <c r="L16" s="144">
        <v>0</v>
      </c>
      <c r="M16" s="144">
        <v>0</v>
      </c>
      <c r="N16" s="144">
        <v>0</v>
      </c>
      <c r="O16" s="184">
        <v>0</v>
      </c>
      <c r="P16" s="190">
        <v>0</v>
      </c>
      <c r="Q16" s="33">
        <f t="shared" si="0"/>
        <v>0</v>
      </c>
      <c r="S16" s="136"/>
    </row>
    <row r="17" spans="1:19" x14ac:dyDescent="0.2">
      <c r="A17" s="77">
        <v>4175</v>
      </c>
      <c r="B17" s="63" t="s">
        <v>28</v>
      </c>
      <c r="C17" s="36">
        <v>0</v>
      </c>
      <c r="D17" s="39">
        <v>0</v>
      </c>
      <c r="E17" s="144">
        <v>0</v>
      </c>
      <c r="F17" s="144">
        <v>0</v>
      </c>
      <c r="G17" s="144">
        <v>0</v>
      </c>
      <c r="H17" s="144">
        <v>0</v>
      </c>
      <c r="I17" s="144">
        <v>0</v>
      </c>
      <c r="J17" s="144">
        <v>0</v>
      </c>
      <c r="K17" s="144">
        <v>0</v>
      </c>
      <c r="L17" s="144">
        <v>0</v>
      </c>
      <c r="M17" s="144">
        <v>0</v>
      </c>
      <c r="N17" s="144">
        <v>0</v>
      </c>
      <c r="O17" s="184">
        <v>0</v>
      </c>
      <c r="P17" s="190">
        <v>0</v>
      </c>
      <c r="Q17" s="33">
        <f t="shared" si="0"/>
        <v>0</v>
      </c>
      <c r="S17" s="136"/>
    </row>
    <row r="18" spans="1:19" x14ac:dyDescent="0.2">
      <c r="A18" s="77">
        <v>4198</v>
      </c>
      <c r="B18" s="63" t="s">
        <v>1</v>
      </c>
      <c r="C18" s="36">
        <v>990</v>
      </c>
      <c r="D18" s="39">
        <v>0</v>
      </c>
      <c r="E18" s="144">
        <v>0</v>
      </c>
      <c r="F18" s="144">
        <v>0</v>
      </c>
      <c r="G18" s="144">
        <v>0</v>
      </c>
      <c r="H18" s="144">
        <v>0</v>
      </c>
      <c r="I18" s="144">
        <v>0</v>
      </c>
      <c r="J18" s="144">
        <v>0</v>
      </c>
      <c r="K18" s="144">
        <v>0</v>
      </c>
      <c r="L18" s="144">
        <v>0</v>
      </c>
      <c r="M18" s="148">
        <v>0</v>
      </c>
      <c r="N18" s="148">
        <v>0</v>
      </c>
      <c r="O18" s="184">
        <v>0</v>
      </c>
      <c r="P18" s="190">
        <v>0</v>
      </c>
      <c r="Q18" s="33">
        <f t="shared" si="0"/>
        <v>0</v>
      </c>
      <c r="S18" s="136"/>
    </row>
    <row r="19" spans="1:19" x14ac:dyDescent="0.2">
      <c r="A19" s="77" t="s">
        <v>19</v>
      </c>
      <c r="B19" s="63" t="s">
        <v>11</v>
      </c>
      <c r="C19" s="36">
        <v>0</v>
      </c>
      <c r="D19" s="39">
        <v>303</v>
      </c>
      <c r="E19" s="144">
        <v>0</v>
      </c>
      <c r="F19" s="144">
        <v>0</v>
      </c>
      <c r="G19" s="144">
        <v>77.25</v>
      </c>
      <c r="H19" s="144">
        <v>33.25</v>
      </c>
      <c r="I19" s="144">
        <v>26.95</v>
      </c>
      <c r="J19" s="144">
        <v>34.85</v>
      </c>
      <c r="K19" s="144">
        <v>32.9</v>
      </c>
      <c r="L19" s="144">
        <v>43.2</v>
      </c>
      <c r="M19" s="148">
        <v>22.15</v>
      </c>
      <c r="N19" s="148">
        <v>32.450000000000003</v>
      </c>
      <c r="O19" s="184">
        <v>12.35</v>
      </c>
      <c r="P19" s="190">
        <v>0</v>
      </c>
      <c r="Q19" s="33">
        <f t="shared" si="0"/>
        <v>315.34999999999997</v>
      </c>
      <c r="S19" s="136"/>
    </row>
    <row r="20" spans="1:19" x14ac:dyDescent="0.2">
      <c r="A20" s="77" t="s">
        <v>29</v>
      </c>
      <c r="B20" s="63" t="s">
        <v>30</v>
      </c>
      <c r="C20" s="36">
        <v>0</v>
      </c>
      <c r="D20" s="39"/>
      <c r="E20" s="144">
        <v>0</v>
      </c>
      <c r="F20" s="144">
        <v>0</v>
      </c>
      <c r="G20" s="144">
        <f>($D20-SUM($E20:F20))/10</f>
        <v>0</v>
      </c>
      <c r="H20" s="144">
        <v>0</v>
      </c>
      <c r="I20" s="144">
        <v>0</v>
      </c>
      <c r="J20" s="144">
        <v>0</v>
      </c>
      <c r="K20" s="144">
        <v>0</v>
      </c>
      <c r="L20" s="144">
        <v>0</v>
      </c>
      <c r="M20" s="148">
        <v>0</v>
      </c>
      <c r="N20" s="148">
        <v>0</v>
      </c>
      <c r="O20" s="184">
        <v>0</v>
      </c>
      <c r="P20" s="190">
        <v>0</v>
      </c>
      <c r="Q20" s="33">
        <f t="shared" si="0"/>
        <v>0</v>
      </c>
      <c r="S20" s="136"/>
    </row>
    <row r="21" spans="1:19" x14ac:dyDescent="0.2">
      <c r="A21" s="77" t="s">
        <v>109</v>
      </c>
      <c r="B21" s="63" t="s">
        <v>111</v>
      </c>
      <c r="C21" s="36">
        <v>0</v>
      </c>
      <c r="D21" s="39">
        <v>1647.03</v>
      </c>
      <c r="E21" s="144">
        <v>0</v>
      </c>
      <c r="F21" s="144">
        <v>0</v>
      </c>
      <c r="G21" s="144">
        <v>737.8</v>
      </c>
      <c r="H21" s="144">
        <v>316.82</v>
      </c>
      <c r="I21" s="144">
        <v>258.23</v>
      </c>
      <c r="J21" s="144">
        <v>334.18</v>
      </c>
      <c r="K21" s="144">
        <v>0</v>
      </c>
      <c r="L21" s="144">
        <v>0</v>
      </c>
      <c r="M21" s="148">
        <v>0</v>
      </c>
      <c r="N21" s="148">
        <v>0</v>
      </c>
      <c r="O21" s="184">
        <v>0</v>
      </c>
      <c r="P21" s="190">
        <v>0</v>
      </c>
      <c r="Q21" s="33">
        <f t="shared" ref="Q21:Q22" si="1">SUM(E21:P21)</f>
        <v>1647.03</v>
      </c>
      <c r="S21" s="136"/>
    </row>
    <row r="22" spans="1:19" x14ac:dyDescent="0.2">
      <c r="A22" s="77" t="s">
        <v>110</v>
      </c>
      <c r="B22" s="63" t="s">
        <v>112</v>
      </c>
      <c r="C22" s="36">
        <v>0</v>
      </c>
      <c r="D22" s="39">
        <v>3246.72</v>
      </c>
      <c r="E22" s="144">
        <v>0</v>
      </c>
      <c r="F22" s="144">
        <v>0</v>
      </c>
      <c r="G22" s="144">
        <v>1466.72</v>
      </c>
      <c r="H22" s="144">
        <v>630.12</v>
      </c>
      <c r="I22" s="144">
        <v>494.84</v>
      </c>
      <c r="J22" s="144">
        <v>655.04</v>
      </c>
      <c r="K22" s="144">
        <v>0</v>
      </c>
      <c r="L22" s="144">
        <v>0</v>
      </c>
      <c r="M22" s="148">
        <v>0</v>
      </c>
      <c r="N22" s="148">
        <v>0</v>
      </c>
      <c r="O22" s="184">
        <v>0</v>
      </c>
      <c r="P22" s="190">
        <v>0</v>
      </c>
      <c r="Q22" s="33">
        <f t="shared" si="1"/>
        <v>3246.7200000000003</v>
      </c>
      <c r="S22" s="136"/>
    </row>
    <row r="23" spans="1:19" x14ac:dyDescent="0.2">
      <c r="A23" s="77">
        <v>4199</v>
      </c>
      <c r="B23" s="63" t="s">
        <v>31</v>
      </c>
      <c r="C23" s="36">
        <v>106689</v>
      </c>
      <c r="D23" s="39">
        <v>200359.64</v>
      </c>
      <c r="E23" s="144">
        <v>13432.45</v>
      </c>
      <c r="F23" s="144">
        <v>11939.95</v>
      </c>
      <c r="G23" s="144">
        <v>7462.47</v>
      </c>
      <c r="H23" s="144">
        <v>13432.45</v>
      </c>
      <c r="I23" s="144">
        <v>12686.2</v>
      </c>
      <c r="J23" s="144">
        <v>34260.19</v>
      </c>
      <c r="K23" s="144">
        <v>17297.39</v>
      </c>
      <c r="L23" s="144">
        <v>17297.38</v>
      </c>
      <c r="M23" s="148">
        <v>15448.66</v>
      </c>
      <c r="N23" s="148">
        <v>12021.58</v>
      </c>
      <c r="O23" s="184">
        <v>25044.959999999999</v>
      </c>
      <c r="P23" s="190">
        <v>20035.96</v>
      </c>
      <c r="Q23" s="33">
        <f t="shared" si="0"/>
        <v>200359.63999999998</v>
      </c>
      <c r="S23" s="136"/>
    </row>
    <row r="24" spans="1:19" x14ac:dyDescent="0.2">
      <c r="A24" s="78">
        <v>6111</v>
      </c>
      <c r="B24" s="64" t="s">
        <v>105</v>
      </c>
      <c r="C24" s="36">
        <v>3931</v>
      </c>
      <c r="D24" s="39">
        <v>3827.63</v>
      </c>
      <c r="E24" s="144">
        <v>0</v>
      </c>
      <c r="F24" s="144">
        <v>0</v>
      </c>
      <c r="G24" s="144">
        <v>0</v>
      </c>
      <c r="H24" s="144">
        <v>0</v>
      </c>
      <c r="I24" s="144">
        <v>3827.63</v>
      </c>
      <c r="J24" s="144">
        <v>0</v>
      </c>
      <c r="K24" s="144">
        <v>0</v>
      </c>
      <c r="L24" s="144">
        <v>0</v>
      </c>
      <c r="M24" s="144">
        <v>0</v>
      </c>
      <c r="N24" s="144">
        <v>0</v>
      </c>
      <c r="O24" s="184">
        <v>0</v>
      </c>
      <c r="P24" s="190">
        <v>0</v>
      </c>
      <c r="Q24" s="33">
        <f t="shared" ref="Q24" si="2">SUM(E24:P24)</f>
        <v>3827.63</v>
      </c>
      <c r="S24" s="136"/>
    </row>
    <row r="25" spans="1:19" x14ac:dyDescent="0.2">
      <c r="A25" s="78">
        <v>6112</v>
      </c>
      <c r="B25" s="64" t="s">
        <v>98</v>
      </c>
      <c r="C25" s="36">
        <v>0</v>
      </c>
      <c r="D25" s="39">
        <v>7705.88</v>
      </c>
      <c r="E25" s="144">
        <v>0</v>
      </c>
      <c r="F25" s="144">
        <v>0</v>
      </c>
      <c r="G25" s="144">
        <v>0</v>
      </c>
      <c r="H25" s="144">
        <v>0</v>
      </c>
      <c r="I25" s="144">
        <v>0</v>
      </c>
      <c r="J25" s="144">
        <v>0</v>
      </c>
      <c r="K25" s="144">
        <v>0</v>
      </c>
      <c r="L25" s="144">
        <v>0</v>
      </c>
      <c r="M25" s="144">
        <v>0</v>
      </c>
      <c r="N25" s="144">
        <v>7705.88</v>
      </c>
      <c r="O25" s="184">
        <v>0</v>
      </c>
      <c r="P25" s="190">
        <v>2919.88</v>
      </c>
      <c r="Q25" s="33">
        <f t="shared" si="0"/>
        <v>10625.76</v>
      </c>
      <c r="S25" s="136"/>
    </row>
    <row r="26" spans="1:19" x14ac:dyDescent="0.2">
      <c r="A26" s="78">
        <v>6113</v>
      </c>
      <c r="B26" s="64" t="s">
        <v>99</v>
      </c>
      <c r="C26" s="36">
        <v>80000</v>
      </c>
      <c r="D26" s="39">
        <v>43200</v>
      </c>
      <c r="E26" s="144">
        <v>0</v>
      </c>
      <c r="F26" s="144">
        <v>0</v>
      </c>
      <c r="G26" s="144">
        <v>7659.03</v>
      </c>
      <c r="H26" s="144">
        <v>3568.1</v>
      </c>
      <c r="I26" s="144">
        <v>3546.89</v>
      </c>
      <c r="J26" s="144">
        <v>3568.24</v>
      </c>
      <c r="K26" s="144">
        <v>3558.56</v>
      </c>
      <c r="L26" s="144">
        <v>3575.29</v>
      </c>
      <c r="M26" s="144">
        <v>3556.71</v>
      </c>
      <c r="N26" s="144">
        <v>3577.59</v>
      </c>
      <c r="O26" s="184">
        <v>3538.1</v>
      </c>
      <c r="P26" s="190">
        <v>3500.05</v>
      </c>
      <c r="Q26" s="33">
        <f t="shared" si="0"/>
        <v>39648.560000000005</v>
      </c>
      <c r="S26" s="136"/>
    </row>
    <row r="27" spans="1:19" x14ac:dyDescent="0.2">
      <c r="A27" s="78">
        <v>6114</v>
      </c>
      <c r="B27" s="64" t="s">
        <v>100</v>
      </c>
      <c r="C27" s="36">
        <v>25017</v>
      </c>
      <c r="D27" s="39">
        <v>0</v>
      </c>
      <c r="E27" s="144">
        <v>0</v>
      </c>
      <c r="F27" s="144">
        <v>0</v>
      </c>
      <c r="G27" s="144">
        <v>0</v>
      </c>
      <c r="H27" s="144">
        <v>0</v>
      </c>
      <c r="I27" s="144">
        <v>0</v>
      </c>
      <c r="J27" s="144">
        <v>0</v>
      </c>
      <c r="K27" s="144">
        <v>0</v>
      </c>
      <c r="L27" s="144">
        <v>0</v>
      </c>
      <c r="M27" s="144">
        <v>0</v>
      </c>
      <c r="N27" s="144">
        <v>0</v>
      </c>
      <c r="O27" s="184">
        <v>0</v>
      </c>
      <c r="P27" s="190">
        <v>0</v>
      </c>
      <c r="Q27" s="33">
        <f t="shared" si="0"/>
        <v>0</v>
      </c>
      <c r="S27" s="136"/>
    </row>
    <row r="28" spans="1:19" x14ac:dyDescent="0.2">
      <c r="A28" s="78">
        <v>6123</v>
      </c>
      <c r="B28" s="64" t="s">
        <v>97</v>
      </c>
      <c r="C28" s="36">
        <v>0</v>
      </c>
      <c r="D28" s="39">
        <v>0</v>
      </c>
      <c r="E28" s="144">
        <v>0</v>
      </c>
      <c r="F28" s="144">
        <v>0</v>
      </c>
      <c r="G28" s="144">
        <v>0</v>
      </c>
      <c r="H28" s="144">
        <v>0</v>
      </c>
      <c r="I28" s="144">
        <v>0</v>
      </c>
      <c r="J28" s="144">
        <v>0</v>
      </c>
      <c r="K28" s="144">
        <v>0</v>
      </c>
      <c r="L28" s="144">
        <v>0</v>
      </c>
      <c r="M28" s="144">
        <v>0</v>
      </c>
      <c r="N28" s="144">
        <v>0</v>
      </c>
      <c r="O28" s="184">
        <v>0</v>
      </c>
      <c r="P28" s="190">
        <v>0</v>
      </c>
      <c r="Q28" s="33">
        <f t="shared" ref="Q28" si="3">SUM(E28:P28)</f>
        <v>0</v>
      </c>
      <c r="S28" s="136"/>
    </row>
    <row r="29" spans="1:19" ht="12" customHeight="1" x14ac:dyDescent="0.2">
      <c r="A29" s="78">
        <v>6124</v>
      </c>
      <c r="B29" s="64" t="s">
        <v>32</v>
      </c>
      <c r="C29" s="36">
        <v>11000</v>
      </c>
      <c r="D29" s="39">
        <v>15379</v>
      </c>
      <c r="E29" s="144">
        <v>0</v>
      </c>
      <c r="F29" s="144">
        <v>0</v>
      </c>
      <c r="G29" s="144">
        <v>0</v>
      </c>
      <c r="H29" s="144">
        <v>0</v>
      </c>
      <c r="I29" s="144">
        <v>15379</v>
      </c>
      <c r="J29" s="144">
        <v>0</v>
      </c>
      <c r="K29" s="144">
        <v>0</v>
      </c>
      <c r="L29" s="144">
        <v>0</v>
      </c>
      <c r="M29" s="144">
        <v>0</v>
      </c>
      <c r="N29" s="144">
        <v>0</v>
      </c>
      <c r="O29" s="184">
        <v>0</v>
      </c>
      <c r="P29" s="190">
        <v>0</v>
      </c>
      <c r="Q29" s="33">
        <f t="shared" si="0"/>
        <v>15379</v>
      </c>
      <c r="S29" s="136"/>
    </row>
    <row r="30" spans="1:19" x14ac:dyDescent="0.2">
      <c r="A30" s="78">
        <v>6151</v>
      </c>
      <c r="B30" s="64" t="s">
        <v>16</v>
      </c>
      <c r="C30" s="36">
        <v>1619</v>
      </c>
      <c r="D30" s="39">
        <v>1806</v>
      </c>
      <c r="E30" s="144">
        <v>0</v>
      </c>
      <c r="F30" s="144">
        <v>0</v>
      </c>
      <c r="G30" s="144">
        <v>0</v>
      </c>
      <c r="H30" s="144">
        <v>0</v>
      </c>
      <c r="I30" s="144">
        <v>0</v>
      </c>
      <c r="J30" s="144">
        <v>0</v>
      </c>
      <c r="K30" s="144">
        <v>0</v>
      </c>
      <c r="L30" s="144">
        <v>0</v>
      </c>
      <c r="M30" s="144">
        <v>0</v>
      </c>
      <c r="N30" s="144">
        <v>0</v>
      </c>
      <c r="O30" s="184">
        <v>0</v>
      </c>
      <c r="P30" s="190">
        <v>678.47</v>
      </c>
      <c r="Q30" s="33">
        <f t="shared" si="0"/>
        <v>678.47</v>
      </c>
      <c r="S30" s="136"/>
    </row>
    <row r="31" spans="1:19" x14ac:dyDescent="0.2">
      <c r="A31" s="78">
        <v>6152</v>
      </c>
      <c r="B31" s="64" t="s">
        <v>33</v>
      </c>
      <c r="C31" s="36">
        <v>11973</v>
      </c>
      <c r="D31" s="39">
        <v>0</v>
      </c>
      <c r="E31" s="144">
        <v>0</v>
      </c>
      <c r="F31" s="144">
        <v>0</v>
      </c>
      <c r="G31" s="144">
        <v>0</v>
      </c>
      <c r="H31" s="144">
        <v>0</v>
      </c>
      <c r="I31" s="144">
        <v>0</v>
      </c>
      <c r="J31" s="144">
        <v>0</v>
      </c>
      <c r="K31" s="144">
        <v>0</v>
      </c>
      <c r="L31" s="144">
        <v>0</v>
      </c>
      <c r="M31" s="144">
        <v>0</v>
      </c>
      <c r="N31" s="144">
        <v>0</v>
      </c>
      <c r="O31" s="184">
        <v>0</v>
      </c>
      <c r="P31" s="190">
        <v>0</v>
      </c>
      <c r="Q31" s="33">
        <f t="shared" si="0"/>
        <v>0</v>
      </c>
      <c r="S31" s="136"/>
    </row>
    <row r="32" spans="1:19" x14ac:dyDescent="0.2">
      <c r="A32" s="78">
        <v>6198</v>
      </c>
      <c r="B32" s="64" t="s">
        <v>115</v>
      </c>
      <c r="C32" s="36">
        <v>60000</v>
      </c>
      <c r="D32" s="39">
        <v>35608.67</v>
      </c>
      <c r="E32" s="144">
        <v>0</v>
      </c>
      <c r="F32" s="144">
        <v>0</v>
      </c>
      <c r="G32" s="144">
        <v>8646.9699999999993</v>
      </c>
      <c r="H32" s="144">
        <v>3706.85</v>
      </c>
      <c r="I32" s="144">
        <v>2911.83</v>
      </c>
      <c r="J32" s="144">
        <v>3872.42</v>
      </c>
      <c r="K32" s="144">
        <v>3738.73</v>
      </c>
      <c r="L32" s="144">
        <v>4741.8</v>
      </c>
      <c r="M32" s="144">
        <v>2675.46</v>
      </c>
      <c r="N32" s="144">
        <v>3628.06</v>
      </c>
      <c r="O32" s="184">
        <v>1686.55</v>
      </c>
      <c r="P32" s="190">
        <v>0</v>
      </c>
      <c r="Q32" s="33">
        <f t="shared" si="0"/>
        <v>35608.67</v>
      </c>
      <c r="S32" s="136"/>
    </row>
    <row r="33" spans="1:30" x14ac:dyDescent="0.2">
      <c r="A33" s="78" t="s">
        <v>113</v>
      </c>
      <c r="B33" s="64" t="s">
        <v>114</v>
      </c>
      <c r="C33" s="37">
        <v>0</v>
      </c>
      <c r="D33" s="39">
        <v>17534.189999999999</v>
      </c>
      <c r="E33" s="144">
        <v>0</v>
      </c>
      <c r="F33" s="144">
        <v>0</v>
      </c>
      <c r="G33" s="144">
        <v>4295.1499999999996</v>
      </c>
      <c r="H33" s="144">
        <v>1848.55</v>
      </c>
      <c r="I33" s="144">
        <v>1498.63</v>
      </c>
      <c r="J33" s="144">
        <v>1937.99</v>
      </c>
      <c r="K33" s="144">
        <v>1829.36</v>
      </c>
      <c r="L33" s="144">
        <v>2401.88</v>
      </c>
      <c r="M33" s="144">
        <v>1231.81</v>
      </c>
      <c r="N33" s="144">
        <v>1804.33</v>
      </c>
      <c r="O33" s="184">
        <v>686.49</v>
      </c>
      <c r="P33" s="190">
        <v>0</v>
      </c>
      <c r="Q33" s="33">
        <f t="shared" si="0"/>
        <v>17534.190000000002</v>
      </c>
      <c r="S33" s="136"/>
    </row>
    <row r="34" spans="1:30" x14ac:dyDescent="0.2">
      <c r="A34" s="78">
        <v>619811</v>
      </c>
      <c r="B34" s="64" t="s">
        <v>107</v>
      </c>
      <c r="C34" s="37">
        <v>0</v>
      </c>
      <c r="D34" s="39">
        <v>12534.94</v>
      </c>
      <c r="E34" s="144">
        <v>6365.34</v>
      </c>
      <c r="F34" s="144">
        <v>0</v>
      </c>
      <c r="G34" s="144">
        <v>0</v>
      </c>
      <c r="H34" s="144">
        <v>0</v>
      </c>
      <c r="I34" s="144">
        <v>6169.6</v>
      </c>
      <c r="J34" s="144">
        <v>0</v>
      </c>
      <c r="K34" s="144">
        <v>0</v>
      </c>
      <c r="L34" s="144">
        <v>0</v>
      </c>
      <c r="M34" s="144">
        <v>0</v>
      </c>
      <c r="N34" s="144">
        <v>0</v>
      </c>
      <c r="O34" s="184">
        <v>0</v>
      </c>
      <c r="P34" s="190">
        <v>0</v>
      </c>
      <c r="Q34" s="33">
        <f t="shared" si="0"/>
        <v>12534.94</v>
      </c>
      <c r="S34" s="136"/>
    </row>
    <row r="35" spans="1:30" x14ac:dyDescent="0.2">
      <c r="A35" s="78">
        <v>619813</v>
      </c>
      <c r="B35" s="64" t="s">
        <v>119</v>
      </c>
      <c r="C35" s="37"/>
      <c r="D35" s="39">
        <v>1313.5</v>
      </c>
      <c r="E35" s="144">
        <v>0</v>
      </c>
      <c r="F35" s="144">
        <v>0</v>
      </c>
      <c r="G35" s="144">
        <v>0</v>
      </c>
      <c r="H35" s="144">
        <v>0</v>
      </c>
      <c r="I35" s="144">
        <v>0</v>
      </c>
      <c r="J35" s="144">
        <v>0</v>
      </c>
      <c r="K35" s="144">
        <v>0</v>
      </c>
      <c r="L35" s="144">
        <v>0</v>
      </c>
      <c r="M35" s="144">
        <v>939.61</v>
      </c>
      <c r="N35" s="144">
        <v>310.31</v>
      </c>
      <c r="O35" s="184">
        <v>63.58</v>
      </c>
      <c r="P35" s="190">
        <v>0</v>
      </c>
      <c r="Q35" s="33">
        <f t="shared" si="0"/>
        <v>1313.5</v>
      </c>
      <c r="S35" s="136"/>
    </row>
    <row r="36" spans="1:30" x14ac:dyDescent="0.2">
      <c r="A36" s="78">
        <v>619814</v>
      </c>
      <c r="B36" s="64" t="s">
        <v>120</v>
      </c>
      <c r="C36" s="37"/>
      <c r="D36" s="39">
        <v>2791.04</v>
      </c>
      <c r="E36" s="144">
        <v>0</v>
      </c>
      <c r="F36" s="144">
        <v>0</v>
      </c>
      <c r="G36" s="144">
        <v>0</v>
      </c>
      <c r="H36" s="144">
        <v>0</v>
      </c>
      <c r="I36" s="144">
        <v>0</v>
      </c>
      <c r="J36" s="144">
        <v>0</v>
      </c>
      <c r="K36" s="144">
        <v>0</v>
      </c>
      <c r="L36" s="144">
        <v>0</v>
      </c>
      <c r="M36" s="144">
        <v>1890.36</v>
      </c>
      <c r="N36" s="144">
        <v>615.88</v>
      </c>
      <c r="O36" s="184">
        <v>284.8</v>
      </c>
      <c r="P36" s="190">
        <v>0</v>
      </c>
      <c r="Q36" s="33">
        <f t="shared" si="0"/>
        <v>2791.04</v>
      </c>
      <c r="S36" s="136"/>
    </row>
    <row r="37" spans="1:30" x14ac:dyDescent="0.2">
      <c r="A37" s="78">
        <v>61915</v>
      </c>
      <c r="B37" s="64" t="s">
        <v>121</v>
      </c>
      <c r="C37" s="37">
        <v>0</v>
      </c>
      <c r="D37" s="39">
        <v>53.6</v>
      </c>
      <c r="E37" s="144">
        <v>0</v>
      </c>
      <c r="F37" s="144">
        <v>0</v>
      </c>
      <c r="G37" s="144">
        <v>0</v>
      </c>
      <c r="H37" s="144">
        <v>0</v>
      </c>
      <c r="I37" s="144">
        <v>0</v>
      </c>
      <c r="J37" s="144">
        <v>0</v>
      </c>
      <c r="K37" s="144">
        <v>0</v>
      </c>
      <c r="L37" s="144">
        <v>0</v>
      </c>
      <c r="M37" s="144">
        <v>0</v>
      </c>
      <c r="N37" s="144">
        <v>0</v>
      </c>
      <c r="O37" s="184">
        <v>53.6</v>
      </c>
      <c r="P37" s="190">
        <v>0</v>
      </c>
      <c r="Q37" s="33">
        <f t="shared" si="0"/>
        <v>53.6</v>
      </c>
      <c r="S37" s="136"/>
    </row>
    <row r="38" spans="1:30" x14ac:dyDescent="0.2">
      <c r="A38" s="78">
        <v>6998</v>
      </c>
      <c r="B38" s="64" t="s">
        <v>106</v>
      </c>
      <c r="C38" s="37">
        <v>5000</v>
      </c>
      <c r="D38" s="39">
        <v>5000</v>
      </c>
      <c r="E38" s="144">
        <v>0</v>
      </c>
      <c r="F38" s="144">
        <v>0</v>
      </c>
      <c r="G38" s="144">
        <v>0</v>
      </c>
      <c r="H38" s="144">
        <v>0</v>
      </c>
      <c r="I38" s="144">
        <v>0</v>
      </c>
      <c r="J38" s="144">
        <v>0</v>
      </c>
      <c r="K38" s="144">
        <v>0</v>
      </c>
      <c r="L38" s="144">
        <v>0</v>
      </c>
      <c r="M38" s="144">
        <v>0</v>
      </c>
      <c r="N38" s="144">
        <v>0</v>
      </c>
      <c r="O38" s="184">
        <v>0</v>
      </c>
      <c r="P38" s="190">
        <v>0</v>
      </c>
      <c r="Q38" s="33">
        <f t="shared" ref="Q38" si="4">SUM(E38:P38)</f>
        <v>0</v>
      </c>
      <c r="S38" s="136"/>
    </row>
    <row r="39" spans="1:30" s="2" customFormat="1" ht="25.5" x14ac:dyDescent="0.2">
      <c r="A39" s="79" t="s">
        <v>69</v>
      </c>
      <c r="B39" s="82" t="s">
        <v>96</v>
      </c>
      <c r="C39" s="12">
        <f t="shared" ref="C39:P39" si="5">SUM(C8:C38)</f>
        <v>2484174</v>
      </c>
      <c r="D39" s="40">
        <f t="shared" si="5"/>
        <v>2737712.21</v>
      </c>
      <c r="E39" s="145">
        <f t="shared" si="5"/>
        <v>215609.33000000002</v>
      </c>
      <c r="F39" s="145">
        <f t="shared" si="5"/>
        <v>185994.65000000002</v>
      </c>
      <c r="G39" s="145">
        <f t="shared" si="5"/>
        <v>141941.51999999999</v>
      </c>
      <c r="H39" s="145">
        <f t="shared" si="5"/>
        <v>269628.12</v>
      </c>
      <c r="I39" s="146">
        <f t="shared" si="5"/>
        <v>239376.89000000004</v>
      </c>
      <c r="J39" s="146">
        <f t="shared" si="5"/>
        <v>257299.32</v>
      </c>
      <c r="K39" s="146">
        <f t="shared" si="5"/>
        <v>225803.68999999997</v>
      </c>
      <c r="L39" s="146">
        <f t="shared" si="5"/>
        <v>233898.68000000002</v>
      </c>
      <c r="M39" s="181">
        <f t="shared" si="5"/>
        <v>135259.18999999997</v>
      </c>
      <c r="N39" s="181">
        <f t="shared" si="5"/>
        <v>238062.09999999998</v>
      </c>
      <c r="O39" s="181">
        <f t="shared" si="5"/>
        <v>338173.93999999994</v>
      </c>
      <c r="P39" s="181">
        <f t="shared" si="5"/>
        <v>247918.03999999998</v>
      </c>
      <c r="Q39" s="16"/>
      <c r="R39"/>
      <c r="S39"/>
      <c r="T39"/>
      <c r="U39"/>
      <c r="V39"/>
      <c r="W39"/>
      <c r="X39"/>
      <c r="Y39"/>
      <c r="Z39"/>
      <c r="AA39"/>
      <c r="AB39"/>
      <c r="AC39"/>
      <c r="AD39"/>
    </row>
    <row r="40" spans="1:30" x14ac:dyDescent="0.2">
      <c r="A40" s="62"/>
      <c r="B40" s="62"/>
      <c r="C40" s="6"/>
      <c r="D40" s="41"/>
      <c r="E40" s="13"/>
      <c r="F40" s="13"/>
      <c r="G40" s="13"/>
      <c r="H40" s="135"/>
      <c r="I40" s="14"/>
      <c r="J40" s="14"/>
      <c r="K40" s="14"/>
      <c r="L40" s="14"/>
      <c r="M40" s="15"/>
      <c r="N40" s="15"/>
      <c r="O40" s="15"/>
      <c r="P40" s="15"/>
    </row>
    <row r="41" spans="1:30" x14ac:dyDescent="0.2">
      <c r="A41" s="65" t="s">
        <v>70</v>
      </c>
      <c r="B41" s="65" t="s">
        <v>71</v>
      </c>
      <c r="C41" s="48">
        <v>200</v>
      </c>
      <c r="D41" s="42">
        <v>12124.52</v>
      </c>
      <c r="E41" s="147">
        <v>655.25</v>
      </c>
      <c r="F41" s="144">
        <v>756.45</v>
      </c>
      <c r="G41" s="148">
        <v>773.32</v>
      </c>
      <c r="H41" s="144">
        <v>1463.19</v>
      </c>
      <c r="I41" s="144">
        <v>0</v>
      </c>
      <c r="J41" s="144">
        <v>951.74</v>
      </c>
      <c r="K41" s="144">
        <v>1000.81</v>
      </c>
      <c r="L41" s="144">
        <v>1378.97</v>
      </c>
      <c r="M41" s="144">
        <v>1437.12</v>
      </c>
      <c r="N41" s="144">
        <v>1424.55</v>
      </c>
      <c r="O41" s="185">
        <v>1030.07</v>
      </c>
      <c r="P41" s="191">
        <v>1253.05</v>
      </c>
      <c r="Q41" s="33">
        <f t="shared" ref="Q41:Q47" si="6">SUM(E41:P41)</f>
        <v>12124.519999999999</v>
      </c>
      <c r="S41" s="137"/>
    </row>
    <row r="42" spans="1:30" ht="15.75" customHeight="1" x14ac:dyDescent="0.2">
      <c r="A42" s="72" t="s">
        <v>101</v>
      </c>
      <c r="B42" s="72" t="s">
        <v>102</v>
      </c>
      <c r="C42" s="48"/>
      <c r="D42" s="42">
        <v>0</v>
      </c>
      <c r="E42" s="149">
        <f t="shared" ref="E42" si="7">($D42)/12</f>
        <v>0</v>
      </c>
      <c r="F42" s="150">
        <v>0</v>
      </c>
      <c r="G42" s="148">
        <f>($D42-SUM($E42:F42))/10</f>
        <v>0</v>
      </c>
      <c r="H42" s="144">
        <v>0</v>
      </c>
      <c r="I42" s="148">
        <v>0</v>
      </c>
      <c r="J42" s="148">
        <v>0</v>
      </c>
      <c r="K42" s="148">
        <v>0</v>
      </c>
      <c r="L42" s="148">
        <v>0</v>
      </c>
      <c r="M42" s="148">
        <v>0</v>
      </c>
      <c r="N42" s="148">
        <v>0</v>
      </c>
      <c r="O42" s="185">
        <v>0</v>
      </c>
      <c r="P42" s="191">
        <v>0</v>
      </c>
      <c r="Q42" s="33">
        <f t="shared" si="6"/>
        <v>0</v>
      </c>
      <c r="S42" s="137"/>
    </row>
    <row r="43" spans="1:30" x14ac:dyDescent="0.2">
      <c r="A43" s="65" t="s">
        <v>40</v>
      </c>
      <c r="B43" s="65" t="s">
        <v>72</v>
      </c>
      <c r="C43" s="48">
        <v>1200</v>
      </c>
      <c r="D43" s="42">
        <v>14498.54</v>
      </c>
      <c r="E43" s="147">
        <v>140</v>
      </c>
      <c r="F43" s="144">
        <v>505</v>
      </c>
      <c r="G43" s="148">
        <v>269</v>
      </c>
      <c r="H43" s="144">
        <v>50</v>
      </c>
      <c r="I43" s="144">
        <v>1593.98</v>
      </c>
      <c r="J43" s="144">
        <v>1422.71</v>
      </c>
      <c r="K43" s="144">
        <v>100</v>
      </c>
      <c r="L43" s="144">
        <v>3025</v>
      </c>
      <c r="M43" s="144">
        <v>2135.9299999999998</v>
      </c>
      <c r="N43" s="144">
        <v>930</v>
      </c>
      <c r="O43" s="185">
        <v>4326.92</v>
      </c>
      <c r="P43" s="191">
        <v>0</v>
      </c>
      <c r="Q43" s="33">
        <f t="shared" si="6"/>
        <v>14498.54</v>
      </c>
      <c r="S43" s="137"/>
    </row>
    <row r="44" spans="1:30" x14ac:dyDescent="0.2">
      <c r="A44" s="65" t="s">
        <v>73</v>
      </c>
      <c r="B44" s="65" t="s">
        <v>74</v>
      </c>
      <c r="C44" s="48">
        <v>9500</v>
      </c>
      <c r="D44" s="42">
        <v>0</v>
      </c>
      <c r="E44" s="147">
        <v>0</v>
      </c>
      <c r="F44" s="144">
        <v>0</v>
      </c>
      <c r="G44" s="148">
        <v>0</v>
      </c>
      <c r="H44" s="144">
        <v>0</v>
      </c>
      <c r="I44" s="144">
        <v>0</v>
      </c>
      <c r="J44" s="144">
        <v>0</v>
      </c>
      <c r="K44" s="144">
        <v>0</v>
      </c>
      <c r="L44" s="144">
        <v>0</v>
      </c>
      <c r="M44" s="144">
        <v>0</v>
      </c>
      <c r="N44" s="144">
        <v>0</v>
      </c>
      <c r="O44" s="185">
        <v>0</v>
      </c>
      <c r="P44" s="191">
        <v>0</v>
      </c>
      <c r="Q44" s="33">
        <f t="shared" si="6"/>
        <v>0</v>
      </c>
      <c r="S44" s="137"/>
    </row>
    <row r="45" spans="1:30" x14ac:dyDescent="0.2">
      <c r="A45" s="65" t="s">
        <v>76</v>
      </c>
      <c r="B45" s="65" t="s">
        <v>75</v>
      </c>
      <c r="C45" s="48"/>
      <c r="D45" s="42"/>
      <c r="E45" s="151"/>
      <c r="F45" s="152"/>
      <c r="G45" s="144"/>
      <c r="H45" s="144"/>
      <c r="I45" s="148"/>
      <c r="J45" s="148"/>
      <c r="K45" s="148"/>
      <c r="L45" s="148"/>
      <c r="M45" s="148"/>
      <c r="N45" s="148"/>
      <c r="O45" s="148"/>
      <c r="P45" s="192"/>
      <c r="Q45" s="33">
        <f t="shared" si="6"/>
        <v>0</v>
      </c>
      <c r="S45" s="137"/>
    </row>
    <row r="46" spans="1:30" x14ac:dyDescent="0.2">
      <c r="A46" s="62"/>
      <c r="B46" s="62"/>
      <c r="C46" s="48"/>
      <c r="D46" s="42"/>
      <c r="E46" s="149"/>
      <c r="F46" s="150"/>
      <c r="G46" s="144"/>
      <c r="H46" s="144"/>
      <c r="I46" s="148"/>
      <c r="J46" s="148"/>
      <c r="K46" s="148"/>
      <c r="L46" s="148"/>
      <c r="M46" s="148"/>
      <c r="N46" s="148"/>
      <c r="O46" s="148"/>
      <c r="P46" s="192"/>
      <c r="Q46" s="33">
        <f t="shared" si="6"/>
        <v>0</v>
      </c>
      <c r="S46" s="137"/>
    </row>
    <row r="47" spans="1:30" x14ac:dyDescent="0.2">
      <c r="A47" s="78" t="s">
        <v>116</v>
      </c>
      <c r="B47" s="64" t="s">
        <v>117</v>
      </c>
      <c r="C47" s="48"/>
      <c r="D47" s="42">
        <v>232</v>
      </c>
      <c r="E47" s="153"/>
      <c r="F47" s="154"/>
      <c r="G47" s="155"/>
      <c r="H47" s="155">
        <v>50</v>
      </c>
      <c r="I47" s="156">
        <f>1775.98-1593.98</f>
        <v>182</v>
      </c>
      <c r="J47" s="156"/>
      <c r="K47" s="156"/>
      <c r="L47" s="156"/>
      <c r="M47" s="156"/>
      <c r="N47" s="156"/>
      <c r="O47" s="156"/>
      <c r="P47" s="193"/>
      <c r="Q47" s="33">
        <f t="shared" si="6"/>
        <v>232</v>
      </c>
      <c r="S47" s="137"/>
    </row>
    <row r="48" spans="1:30" ht="25.5" x14ac:dyDescent="0.2">
      <c r="A48" s="174" t="s">
        <v>0</v>
      </c>
      <c r="B48" s="83" t="s">
        <v>92</v>
      </c>
      <c r="C48" s="49">
        <f t="shared" ref="C48:P48" si="8">SUM(C39:C47)</f>
        <v>2495074</v>
      </c>
      <c r="D48" s="43">
        <f t="shared" si="8"/>
        <v>2764567.27</v>
      </c>
      <c r="E48" s="157">
        <f t="shared" si="8"/>
        <v>216404.58000000002</v>
      </c>
      <c r="F48" s="157">
        <f t="shared" si="8"/>
        <v>187256.10000000003</v>
      </c>
      <c r="G48" s="157">
        <f t="shared" si="8"/>
        <v>142983.84</v>
      </c>
      <c r="H48" s="157">
        <f t="shared" si="8"/>
        <v>271191.31</v>
      </c>
      <c r="I48" s="157">
        <f t="shared" si="8"/>
        <v>241152.87000000005</v>
      </c>
      <c r="J48" s="157">
        <f t="shared" si="8"/>
        <v>259673.77</v>
      </c>
      <c r="K48" s="157">
        <f t="shared" si="8"/>
        <v>226904.49999999997</v>
      </c>
      <c r="L48" s="157">
        <f t="shared" si="8"/>
        <v>238302.65000000002</v>
      </c>
      <c r="M48" s="157">
        <f t="shared" si="8"/>
        <v>138832.23999999996</v>
      </c>
      <c r="N48" s="157">
        <f t="shared" si="8"/>
        <v>240416.64999999997</v>
      </c>
      <c r="O48" s="157">
        <f t="shared" si="8"/>
        <v>343530.92999999993</v>
      </c>
      <c r="P48" s="157">
        <f t="shared" si="8"/>
        <v>249171.08999999997</v>
      </c>
    </row>
    <row r="49" spans="1:19" ht="18.75" x14ac:dyDescent="0.3">
      <c r="C49" s="44"/>
      <c r="D49" s="44"/>
      <c r="E49" s="23"/>
      <c r="F49" s="23"/>
      <c r="G49" s="23"/>
      <c r="H49" s="23"/>
      <c r="I49" s="23"/>
      <c r="J49" s="23"/>
      <c r="K49" s="23"/>
      <c r="L49" s="23"/>
      <c r="M49" s="24"/>
      <c r="N49" s="24"/>
      <c r="O49" s="24"/>
      <c r="P49" s="24"/>
    </row>
    <row r="50" spans="1:19" ht="18.75" x14ac:dyDescent="0.3">
      <c r="A50" s="80" t="s">
        <v>18</v>
      </c>
      <c r="B50" s="67"/>
      <c r="C50" s="41"/>
      <c r="D50" s="41"/>
      <c r="E50" s="6"/>
      <c r="F50" s="6"/>
      <c r="G50" s="6"/>
      <c r="H50" s="6"/>
      <c r="I50" s="5"/>
      <c r="J50" s="5"/>
      <c r="K50" s="139"/>
      <c r="L50" s="5"/>
    </row>
    <row r="51" spans="1:19" x14ac:dyDescent="0.2">
      <c r="A51" s="62"/>
      <c r="B51" s="68"/>
      <c r="C51" s="45" t="s">
        <v>6</v>
      </c>
      <c r="D51" s="45" t="s">
        <v>39</v>
      </c>
      <c r="E51" s="158" t="s">
        <v>7</v>
      </c>
      <c r="F51" s="159" t="s">
        <v>8</v>
      </c>
      <c r="G51" s="159" t="s">
        <v>9</v>
      </c>
      <c r="H51" s="159" t="s">
        <v>10</v>
      </c>
      <c r="I51" s="159" t="s">
        <v>2</v>
      </c>
      <c r="J51" s="159" t="s">
        <v>3</v>
      </c>
      <c r="K51" s="159" t="s">
        <v>4</v>
      </c>
      <c r="L51" s="159" t="s">
        <v>5</v>
      </c>
      <c r="M51" s="182" t="s">
        <v>12</v>
      </c>
      <c r="N51" s="182" t="s">
        <v>13</v>
      </c>
      <c r="O51" s="182" t="s">
        <v>14</v>
      </c>
      <c r="P51" s="195" t="s">
        <v>15</v>
      </c>
    </row>
    <row r="52" spans="1:19" x14ac:dyDescent="0.2">
      <c r="A52" s="62"/>
      <c r="B52" s="62"/>
      <c r="C52" s="46"/>
      <c r="D52" s="46"/>
      <c r="E52" s="142" t="s">
        <v>108</v>
      </c>
      <c r="F52" s="142" t="s">
        <v>108</v>
      </c>
      <c r="G52" s="142" t="s">
        <v>108</v>
      </c>
      <c r="H52" s="142" t="s">
        <v>108</v>
      </c>
      <c r="I52" s="142" t="s">
        <v>108</v>
      </c>
      <c r="J52" s="142" t="s">
        <v>108</v>
      </c>
      <c r="K52" s="142" t="s">
        <v>108</v>
      </c>
      <c r="L52" s="142" t="s">
        <v>108</v>
      </c>
      <c r="M52" s="142" t="s">
        <v>108</v>
      </c>
      <c r="N52" s="142" t="s">
        <v>108</v>
      </c>
      <c r="O52" s="142" t="s">
        <v>108</v>
      </c>
      <c r="P52" s="188" t="s">
        <v>108</v>
      </c>
      <c r="Q52" s="194" t="s">
        <v>122</v>
      </c>
    </row>
    <row r="53" spans="1:19" x14ac:dyDescent="0.2">
      <c r="A53" s="72" t="s">
        <v>77</v>
      </c>
      <c r="B53" s="62" t="s">
        <v>78</v>
      </c>
      <c r="C53" s="50">
        <v>970423</v>
      </c>
      <c r="D53" s="47">
        <v>941365</v>
      </c>
      <c r="E53" s="160">
        <v>79586.960000000006</v>
      </c>
      <c r="F53" s="161">
        <v>84349.65</v>
      </c>
      <c r="G53" s="161">
        <v>70609.539999999994</v>
      </c>
      <c r="H53" s="161">
        <v>73506.070000000007</v>
      </c>
      <c r="I53" s="161">
        <v>85663.99</v>
      </c>
      <c r="J53" s="161">
        <v>73860.27</v>
      </c>
      <c r="K53" s="161">
        <v>72761.259999999995</v>
      </c>
      <c r="L53" s="161">
        <v>87788.76</v>
      </c>
      <c r="M53" s="161">
        <v>77083.61</v>
      </c>
      <c r="N53" s="161">
        <v>82399.8</v>
      </c>
      <c r="O53" s="161">
        <v>74693.47</v>
      </c>
      <c r="P53" s="190">
        <v>79061.320000000007</v>
      </c>
      <c r="Q53" s="33">
        <f>SUM(E53:P53)</f>
        <v>941364.7</v>
      </c>
      <c r="S53" s="136">
        <f>D53-Q53</f>
        <v>0.30000000004656613</v>
      </c>
    </row>
    <row r="54" spans="1:19" x14ac:dyDescent="0.2">
      <c r="A54" s="72" t="s">
        <v>79</v>
      </c>
      <c r="B54" s="62" t="s">
        <v>80</v>
      </c>
      <c r="C54" s="46">
        <v>502421</v>
      </c>
      <c r="D54" s="47">
        <v>504214</v>
      </c>
      <c r="E54" s="162">
        <v>40354.300000000003</v>
      </c>
      <c r="F54" s="148">
        <v>32856</v>
      </c>
      <c r="G54" s="148">
        <v>37211.51</v>
      </c>
      <c r="H54" s="148">
        <v>42181.41</v>
      </c>
      <c r="I54" s="148">
        <v>42407.3</v>
      </c>
      <c r="J54" s="148">
        <v>43081.62</v>
      </c>
      <c r="K54" s="148">
        <v>42325.84</v>
      </c>
      <c r="L54" s="148">
        <v>42724.58</v>
      </c>
      <c r="M54" s="148">
        <v>43291.73</v>
      </c>
      <c r="N54" s="148">
        <v>43416.42</v>
      </c>
      <c r="O54" s="148">
        <v>43030.400000000001</v>
      </c>
      <c r="P54" s="190">
        <v>51332.57</v>
      </c>
      <c r="Q54" s="33">
        <f>SUM(E54:P54)</f>
        <v>504213.68</v>
      </c>
      <c r="S54" s="136">
        <f t="shared" ref="S54:S56" si="9">D54-Q54</f>
        <v>0.32000000000698492</v>
      </c>
    </row>
    <row r="55" spans="1:19" x14ac:dyDescent="0.2">
      <c r="A55" s="72" t="s">
        <v>81</v>
      </c>
      <c r="B55" s="62" t="s">
        <v>82</v>
      </c>
      <c r="C55" s="51">
        <v>602183</v>
      </c>
      <c r="D55" s="47">
        <v>591119</v>
      </c>
      <c r="E55" s="162">
        <v>52842.38</v>
      </c>
      <c r="F55" s="148">
        <v>47492.85</v>
      </c>
      <c r="G55" s="148">
        <v>45026.05</v>
      </c>
      <c r="H55" s="148">
        <v>46664.26</v>
      </c>
      <c r="I55" s="148">
        <v>50180.28</v>
      </c>
      <c r="J55" s="148">
        <v>49268.27</v>
      </c>
      <c r="K55" s="148">
        <v>47778.52</v>
      </c>
      <c r="L55" s="148">
        <v>52118.6</v>
      </c>
      <c r="M55" s="148">
        <v>49642.79</v>
      </c>
      <c r="N55" s="148">
        <v>49209.47</v>
      </c>
      <c r="O55" s="148">
        <v>48860.95</v>
      </c>
      <c r="P55" s="190">
        <v>52035</v>
      </c>
      <c r="Q55" s="33">
        <f>SUM(E55:P55)</f>
        <v>591119.41999999993</v>
      </c>
      <c r="S55" s="136">
        <f t="shared" si="9"/>
        <v>-0.41999999992549419</v>
      </c>
    </row>
    <row r="56" spans="1:19" x14ac:dyDescent="0.2">
      <c r="A56" s="72" t="s">
        <v>83</v>
      </c>
      <c r="B56" s="62" t="s">
        <v>84</v>
      </c>
      <c r="C56" s="46">
        <f>369639+351993+3300</f>
        <v>724932</v>
      </c>
      <c r="D56" s="47">
        <v>667727</v>
      </c>
      <c r="E56" s="163">
        <f>21727.48+102662.25+395.37</f>
        <v>124785.09999999999</v>
      </c>
      <c r="F56" s="156">
        <f>21333.57+13323.31</f>
        <v>34656.879999999997</v>
      </c>
      <c r="G56" s="156">
        <f>75351.32+15058.97</f>
        <v>90410.290000000008</v>
      </c>
      <c r="H56" s="156">
        <f>24429.11+16437.44+1091.2</f>
        <v>41957.75</v>
      </c>
      <c r="I56" s="156">
        <f>23402.45+27410.29</f>
        <v>50812.740000000005</v>
      </c>
      <c r="J56" s="156">
        <f>14087.13+26907.8</f>
        <v>40994.93</v>
      </c>
      <c r="K56" s="156">
        <f>5842.66+14387.38</f>
        <v>20230.04</v>
      </c>
      <c r="L56" s="156">
        <f>29587.97+20690.34</f>
        <v>50278.31</v>
      </c>
      <c r="M56" s="156">
        <f>8483.06+62845.01</f>
        <v>71328.070000000007</v>
      </c>
      <c r="N56" s="156">
        <f>100978.85+3545.48-14619.23</f>
        <v>89905.1</v>
      </c>
      <c r="O56" s="156">
        <f>15559.87+13280.64+70.22</f>
        <v>28910.730000000003</v>
      </c>
      <c r="P56" s="196">
        <f>8383.74+15015.67+58.01</f>
        <v>23457.42</v>
      </c>
      <c r="Q56" s="33">
        <f>SUM(E56:P56)</f>
        <v>667727.35999999999</v>
      </c>
      <c r="S56" s="136">
        <f t="shared" si="9"/>
        <v>-0.35999999998603016</v>
      </c>
    </row>
    <row r="57" spans="1:19" x14ac:dyDescent="0.2">
      <c r="A57" s="168" t="s">
        <v>106</v>
      </c>
      <c r="B57" s="169"/>
      <c r="C57" s="173">
        <v>0</v>
      </c>
      <c r="D57" s="170">
        <v>5000</v>
      </c>
      <c r="E57" s="148"/>
      <c r="F57" s="148"/>
      <c r="G57" s="148"/>
      <c r="H57" s="148"/>
      <c r="I57" s="148"/>
      <c r="J57" s="148"/>
      <c r="K57" s="148"/>
      <c r="L57" s="148"/>
      <c r="M57" s="148"/>
      <c r="N57" s="148"/>
      <c r="O57" s="148"/>
      <c r="P57" s="184">
        <v>0</v>
      </c>
      <c r="Q57" s="33"/>
      <c r="S57" s="136"/>
    </row>
    <row r="58" spans="1:19" x14ac:dyDescent="0.2">
      <c r="A58" s="171" t="s">
        <v>118</v>
      </c>
      <c r="B58" s="62"/>
      <c r="C58" s="46">
        <v>0</v>
      </c>
      <c r="D58" s="172">
        <v>20000</v>
      </c>
      <c r="E58" s="148"/>
      <c r="F58" s="148"/>
      <c r="G58" s="148"/>
      <c r="H58" s="148"/>
      <c r="I58" s="148"/>
      <c r="J58" s="148"/>
      <c r="K58" s="148"/>
      <c r="L58" s="148"/>
      <c r="M58" s="148"/>
      <c r="N58" s="148"/>
      <c r="O58" s="148"/>
      <c r="P58" s="184">
        <v>0</v>
      </c>
      <c r="Q58" s="33"/>
      <c r="S58" s="136"/>
    </row>
    <row r="59" spans="1:19" ht="25.5" x14ac:dyDescent="0.2">
      <c r="A59" s="72" t="s">
        <v>85</v>
      </c>
      <c r="B59" s="62" t="s">
        <v>86</v>
      </c>
      <c r="C59" s="41"/>
      <c r="D59" s="6">
        <v>0</v>
      </c>
      <c r="E59" s="14">
        <f>$D59/12</f>
        <v>0</v>
      </c>
      <c r="F59" s="14">
        <f>($D59-SUM(E59:$E59))/11</f>
        <v>0</v>
      </c>
      <c r="G59" s="13">
        <f>($D59-SUM($E59:F59))/10</f>
        <v>0</v>
      </c>
      <c r="H59" s="14">
        <f>($D59-SUM($E59:G59))/9</f>
        <v>0</v>
      </c>
      <c r="I59" s="14">
        <f>($D59-SUM($E59:H59))/8</f>
        <v>0</v>
      </c>
      <c r="J59" s="14">
        <f>($D59-SUM($E59:I59))/7</f>
        <v>0</v>
      </c>
      <c r="K59" s="14">
        <f>($D59-SUM($E59:J59))/6</f>
        <v>0</v>
      </c>
      <c r="L59" s="14">
        <f>($D59-SUM($E59:K59))/5</f>
        <v>0</v>
      </c>
      <c r="M59" s="16">
        <f>($D59-SUM($E59:L59))/4</f>
        <v>0</v>
      </c>
      <c r="N59" s="16">
        <f>($D59-SUM($E59:M59))/3</f>
        <v>0</v>
      </c>
      <c r="O59" s="16">
        <f>($D59-SUM($E59:N59))/2</f>
        <v>0</v>
      </c>
      <c r="P59" s="16">
        <f>($D59-SUM($E59:O59))</f>
        <v>0</v>
      </c>
      <c r="Q59" s="33">
        <f>SUM(E59:P59)</f>
        <v>0</v>
      </c>
    </row>
    <row r="60" spans="1:19" x14ac:dyDescent="0.2">
      <c r="B60" s="62"/>
      <c r="C60" s="52"/>
      <c r="D60" s="5"/>
      <c r="E60" s="17"/>
      <c r="F60" s="17"/>
      <c r="G60" s="17"/>
      <c r="H60" s="17"/>
      <c r="I60" s="17"/>
      <c r="J60" s="18"/>
      <c r="K60" s="17"/>
      <c r="L60" s="18"/>
      <c r="M60" s="19"/>
      <c r="N60" s="19"/>
      <c r="O60" s="19"/>
      <c r="P60" s="19"/>
    </row>
    <row r="61" spans="1:19" ht="25.5" x14ac:dyDescent="0.2">
      <c r="A61" s="174" t="s">
        <v>87</v>
      </c>
      <c r="B61" s="83" t="s">
        <v>92</v>
      </c>
      <c r="C61" s="49">
        <f t="shared" ref="C61:P61" si="10">SUM(C53:C60)</f>
        <v>2799959</v>
      </c>
      <c r="D61" s="186">
        <f t="shared" si="10"/>
        <v>2729425</v>
      </c>
      <c r="E61" s="146">
        <f t="shared" si="10"/>
        <v>297568.74</v>
      </c>
      <c r="F61" s="146">
        <f t="shared" si="10"/>
        <v>199355.38</v>
      </c>
      <c r="G61" s="146">
        <f t="shared" si="10"/>
        <v>243257.38999999998</v>
      </c>
      <c r="H61" s="146">
        <f t="shared" si="10"/>
        <v>204309.49000000002</v>
      </c>
      <c r="I61" s="146">
        <f t="shared" si="10"/>
        <v>229064.31</v>
      </c>
      <c r="J61" s="146">
        <f t="shared" si="10"/>
        <v>207205.09</v>
      </c>
      <c r="K61" s="146">
        <f t="shared" si="10"/>
        <v>183095.66</v>
      </c>
      <c r="L61" s="146">
        <f t="shared" si="10"/>
        <v>232910.25</v>
      </c>
      <c r="M61" s="146">
        <f t="shared" si="10"/>
        <v>241346.2</v>
      </c>
      <c r="N61" s="146">
        <f t="shared" si="10"/>
        <v>264930.79000000004</v>
      </c>
      <c r="O61" s="146">
        <f t="shared" si="10"/>
        <v>195495.55000000002</v>
      </c>
      <c r="P61" s="146">
        <f t="shared" si="10"/>
        <v>205886.31</v>
      </c>
    </row>
    <row r="62" spans="1:19" ht="13.5" thickBot="1" x14ac:dyDescent="0.25">
      <c r="A62" s="62"/>
      <c r="B62" s="62"/>
      <c r="C62" s="41"/>
      <c r="D62" s="6"/>
      <c r="E62" s="6"/>
      <c r="F62" s="6"/>
      <c r="G62" s="9"/>
      <c r="H62" s="9"/>
      <c r="I62" s="11"/>
      <c r="J62" s="6"/>
      <c r="K62" s="9"/>
      <c r="L62" s="9"/>
      <c r="M62" s="4"/>
      <c r="N62" s="4"/>
      <c r="O62" s="4"/>
      <c r="P62" s="4"/>
    </row>
    <row r="63" spans="1:19" ht="25.5" x14ac:dyDescent="0.2">
      <c r="A63" s="104" t="s">
        <v>49</v>
      </c>
      <c r="B63" s="105"/>
      <c r="C63" s="84">
        <v>331000</v>
      </c>
      <c r="D63" s="85">
        <v>405622.64</v>
      </c>
      <c r="E63" s="86">
        <f>+D63</f>
        <v>405622.64</v>
      </c>
      <c r="F63" s="87">
        <f t="shared" ref="F63:P63" si="11">+E68</f>
        <v>324458.48</v>
      </c>
      <c r="G63" s="87">
        <f t="shared" si="11"/>
        <v>312359.2</v>
      </c>
      <c r="H63" s="87">
        <f t="shared" si="11"/>
        <v>212085.65000000005</v>
      </c>
      <c r="I63" s="87">
        <f t="shared" si="11"/>
        <v>278967.47000000009</v>
      </c>
      <c r="J63" s="87">
        <f t="shared" si="11"/>
        <v>291056.03000000014</v>
      </c>
      <c r="K63" s="87">
        <f t="shared" si="11"/>
        <v>343524.7100000002</v>
      </c>
      <c r="L63" s="87">
        <f t="shared" si="11"/>
        <v>387333.55000000016</v>
      </c>
      <c r="M63" s="88">
        <f t="shared" si="11"/>
        <v>392725.95000000019</v>
      </c>
      <c r="N63" s="88">
        <f t="shared" si="11"/>
        <v>290211.99000000017</v>
      </c>
      <c r="O63" s="88">
        <f t="shared" si="11"/>
        <v>265697.85000000009</v>
      </c>
      <c r="P63" s="89">
        <f t="shared" si="11"/>
        <v>413733.23</v>
      </c>
    </row>
    <row r="64" spans="1:19" x14ac:dyDescent="0.2">
      <c r="A64" s="106" t="s">
        <v>41</v>
      </c>
      <c r="B64" s="62"/>
      <c r="C64" s="90">
        <f t="shared" ref="C64:P64" si="12">+C48</f>
        <v>2495074</v>
      </c>
      <c r="D64" s="10">
        <f t="shared" si="12"/>
        <v>2764567.27</v>
      </c>
      <c r="E64" s="10">
        <f t="shared" si="12"/>
        <v>216404.58000000002</v>
      </c>
      <c r="F64" s="10">
        <f t="shared" si="12"/>
        <v>187256.10000000003</v>
      </c>
      <c r="G64" s="10">
        <f t="shared" si="12"/>
        <v>142983.84</v>
      </c>
      <c r="H64" s="10">
        <f t="shared" si="12"/>
        <v>271191.31</v>
      </c>
      <c r="I64" s="10">
        <f t="shared" si="12"/>
        <v>241152.87000000005</v>
      </c>
      <c r="J64" s="10">
        <f t="shared" si="12"/>
        <v>259673.77</v>
      </c>
      <c r="K64" s="10">
        <f t="shared" si="12"/>
        <v>226904.49999999997</v>
      </c>
      <c r="L64" s="10">
        <f t="shared" si="12"/>
        <v>238302.65000000002</v>
      </c>
      <c r="M64" s="91">
        <f t="shared" si="12"/>
        <v>138832.23999999996</v>
      </c>
      <c r="N64" s="91">
        <f t="shared" si="12"/>
        <v>240416.64999999997</v>
      </c>
      <c r="O64" s="91">
        <f t="shared" si="12"/>
        <v>343530.92999999993</v>
      </c>
      <c r="P64" s="92">
        <f t="shared" si="12"/>
        <v>249171.08999999997</v>
      </c>
    </row>
    <row r="65" spans="1:30" x14ac:dyDescent="0.2">
      <c r="A65" s="106" t="s">
        <v>42</v>
      </c>
      <c r="B65" s="62"/>
      <c r="C65" s="90">
        <f>-C61</f>
        <v>-2799959</v>
      </c>
      <c r="D65" s="10">
        <f>-D61</f>
        <v>-2729425</v>
      </c>
      <c r="E65" s="10">
        <f t="shared" ref="E65:P65" si="13">-E61</f>
        <v>-297568.74</v>
      </c>
      <c r="F65" s="10">
        <f t="shared" si="13"/>
        <v>-199355.38</v>
      </c>
      <c r="G65" s="10">
        <f t="shared" si="13"/>
        <v>-243257.38999999998</v>
      </c>
      <c r="H65" s="10">
        <f t="shared" si="13"/>
        <v>-204309.49000000002</v>
      </c>
      <c r="I65" s="10">
        <f t="shared" si="13"/>
        <v>-229064.31</v>
      </c>
      <c r="J65" s="10">
        <f t="shared" si="13"/>
        <v>-207205.09</v>
      </c>
      <c r="K65" s="10">
        <f t="shared" si="13"/>
        <v>-183095.66</v>
      </c>
      <c r="L65" s="10">
        <f t="shared" si="13"/>
        <v>-232910.25</v>
      </c>
      <c r="M65" s="91">
        <f t="shared" si="13"/>
        <v>-241346.2</v>
      </c>
      <c r="N65" s="91">
        <f t="shared" si="13"/>
        <v>-264930.79000000004</v>
      </c>
      <c r="O65" s="91">
        <f t="shared" si="13"/>
        <v>-195495.55000000002</v>
      </c>
      <c r="P65" s="92">
        <f t="shared" si="13"/>
        <v>-205886.31</v>
      </c>
    </row>
    <row r="66" spans="1:30" x14ac:dyDescent="0.2">
      <c r="A66" s="107" t="s">
        <v>88</v>
      </c>
      <c r="B66" s="108" t="s">
        <v>89</v>
      </c>
      <c r="C66" s="90">
        <f>-C62</f>
        <v>0</v>
      </c>
      <c r="D66" s="93">
        <f>-D62</f>
        <v>0</v>
      </c>
      <c r="E66" s="94">
        <v>0</v>
      </c>
      <c r="F66" s="94">
        <v>0</v>
      </c>
      <c r="G66" s="94">
        <v>0</v>
      </c>
      <c r="H66" s="94">
        <v>0</v>
      </c>
      <c r="I66" s="94">
        <v>0</v>
      </c>
      <c r="J66" s="94">
        <v>0</v>
      </c>
      <c r="K66" s="94">
        <v>0</v>
      </c>
      <c r="L66" s="94">
        <v>0</v>
      </c>
      <c r="M66" s="95">
        <v>0</v>
      </c>
      <c r="N66" s="95">
        <v>0</v>
      </c>
      <c r="O66" s="95">
        <v>0</v>
      </c>
      <c r="P66" s="96">
        <v>0</v>
      </c>
    </row>
    <row r="67" spans="1:30" ht="13.5" thickBot="1" x14ac:dyDescent="0.25">
      <c r="A67" s="109" t="s">
        <v>90</v>
      </c>
      <c r="B67" s="72" t="s">
        <v>75</v>
      </c>
      <c r="C67" s="97">
        <f>+C66</f>
        <v>0</v>
      </c>
      <c r="D67" s="98">
        <f>+D66</f>
        <v>0</v>
      </c>
      <c r="E67" s="98"/>
      <c r="F67" s="99"/>
      <c r="G67" s="99"/>
      <c r="H67" s="100"/>
      <c r="I67" s="100"/>
      <c r="J67" s="100"/>
      <c r="K67" s="100"/>
      <c r="L67" s="100"/>
      <c r="M67" s="101"/>
      <c r="N67" s="101"/>
      <c r="O67" s="101"/>
      <c r="P67" s="102"/>
    </row>
    <row r="68" spans="1:30" ht="26.25" thickBot="1" x14ac:dyDescent="0.25">
      <c r="A68" s="175" t="s">
        <v>91</v>
      </c>
      <c r="B68" s="110" t="s">
        <v>92</v>
      </c>
      <c r="C68" s="111">
        <f>SUM(C63:C67)</f>
        <v>26115</v>
      </c>
      <c r="D68" s="112">
        <f>SUM(D63:D67)</f>
        <v>440764.91000000015</v>
      </c>
      <c r="E68" s="164">
        <f t="shared" ref="E68:P68" si="14">SUM(E63:E67)</f>
        <v>324458.48</v>
      </c>
      <c r="F68" s="164">
        <f t="shared" si="14"/>
        <v>312359.2</v>
      </c>
      <c r="G68" s="164">
        <f t="shared" si="14"/>
        <v>212085.65000000005</v>
      </c>
      <c r="H68" s="164">
        <f t="shared" si="14"/>
        <v>278967.47000000009</v>
      </c>
      <c r="I68" s="164">
        <f t="shared" si="14"/>
        <v>291056.03000000014</v>
      </c>
      <c r="J68" s="164">
        <f t="shared" si="14"/>
        <v>343524.7100000002</v>
      </c>
      <c r="K68" s="164">
        <f t="shared" si="14"/>
        <v>387333.55000000016</v>
      </c>
      <c r="L68" s="164">
        <f t="shared" si="14"/>
        <v>392725.95000000019</v>
      </c>
      <c r="M68" s="183">
        <f t="shared" si="14"/>
        <v>290211.99000000017</v>
      </c>
      <c r="N68" s="183">
        <f t="shared" si="14"/>
        <v>265697.85000000009</v>
      </c>
      <c r="O68" s="183">
        <f t="shared" si="14"/>
        <v>413733.23</v>
      </c>
      <c r="P68" s="197">
        <f t="shared" si="14"/>
        <v>457018.00999999995</v>
      </c>
    </row>
    <row r="69" spans="1:30" x14ac:dyDescent="0.2">
      <c r="A69" s="81"/>
      <c r="B69" s="69"/>
      <c r="C69" s="103"/>
      <c r="D69" s="10"/>
      <c r="E69" s="6"/>
      <c r="F69" s="6"/>
      <c r="G69" s="6"/>
      <c r="H69" s="6"/>
      <c r="I69" s="6"/>
      <c r="J69" s="5"/>
      <c r="K69" s="5"/>
      <c r="L69" s="5"/>
      <c r="P69" s="3"/>
    </row>
    <row r="70" spans="1:30" x14ac:dyDescent="0.2">
      <c r="A70" s="113" t="s">
        <v>58</v>
      </c>
      <c r="B70" s="70"/>
      <c r="C70" s="53"/>
      <c r="D70" s="54"/>
      <c r="E70" s="54"/>
      <c r="F70" s="54"/>
      <c r="G70" s="55"/>
      <c r="H70" s="56"/>
      <c r="I70" s="57"/>
      <c r="J70" s="57"/>
      <c r="K70" s="57"/>
      <c r="L70" s="8"/>
      <c r="N70" s="3"/>
      <c r="P70" s="3"/>
    </row>
    <row r="71" spans="1:30" ht="51" x14ac:dyDescent="0.2">
      <c r="A71" s="61" t="s">
        <v>43</v>
      </c>
      <c r="B71" s="61"/>
      <c r="C71" s="7"/>
      <c r="D71" s="5"/>
      <c r="E71" s="8"/>
      <c r="F71" s="5"/>
      <c r="G71" s="6"/>
      <c r="H71" s="6"/>
      <c r="I71" s="5"/>
      <c r="J71" s="5"/>
      <c r="K71" s="8"/>
      <c r="L71" s="5"/>
      <c r="O71" s="3"/>
      <c r="P71" s="3"/>
    </row>
    <row r="72" spans="1:30" ht="15" customHeight="1" x14ac:dyDescent="0.2">
      <c r="A72" s="66" t="s">
        <v>44</v>
      </c>
      <c r="B72" s="71"/>
      <c r="C72"/>
      <c r="D72"/>
      <c r="E72"/>
      <c r="F72"/>
      <c r="G72"/>
      <c r="J72" s="3"/>
    </row>
    <row r="73" spans="1:30" ht="15" customHeight="1" x14ac:dyDescent="0.2">
      <c r="A73" s="66" t="s">
        <v>44</v>
      </c>
      <c r="B73" s="71"/>
      <c r="C73"/>
      <c r="D73"/>
      <c r="E73"/>
      <c r="F73"/>
      <c r="G73"/>
      <c r="H73" s="22"/>
      <c r="K73" s="3"/>
    </row>
    <row r="74" spans="1:30" ht="15" customHeight="1" x14ac:dyDescent="0.2">
      <c r="A74" s="66" t="s">
        <v>44</v>
      </c>
      <c r="B74" s="71"/>
      <c r="C74"/>
      <c r="D74"/>
      <c r="E74"/>
      <c r="F74"/>
      <c r="G74"/>
    </row>
    <row r="75" spans="1:30" ht="15" customHeight="1" x14ac:dyDescent="0.2">
      <c r="A75" s="176"/>
      <c r="B75" s="117" t="s">
        <v>93</v>
      </c>
      <c r="C75"/>
      <c r="D75"/>
      <c r="E75"/>
      <c r="F75"/>
      <c r="G75"/>
      <c r="H75" s="114"/>
    </row>
    <row r="76" spans="1:30" ht="15" customHeight="1" x14ac:dyDescent="0.2">
      <c r="A76" s="115"/>
      <c r="B76" s="31" t="s">
        <v>94</v>
      </c>
      <c r="C76"/>
      <c r="D76"/>
      <c r="E76"/>
      <c r="F76"/>
      <c r="G76"/>
      <c r="H76" s="114"/>
    </row>
    <row r="77" spans="1:30" ht="16.5" customHeight="1" x14ac:dyDescent="0.2">
      <c r="A77" s="116"/>
      <c r="B77" s="117" t="s">
        <v>95</v>
      </c>
      <c r="C77"/>
      <c r="D77"/>
      <c r="E77"/>
      <c r="F77"/>
      <c r="G77"/>
      <c r="H77" s="114"/>
    </row>
    <row r="78" spans="1:30" ht="16.5" customHeight="1" thickBot="1" x14ac:dyDescent="0.25">
      <c r="A78" s="14"/>
      <c r="B78" s="5"/>
      <c r="C78"/>
      <c r="D78"/>
      <c r="E78"/>
      <c r="F78"/>
      <c r="G78"/>
      <c r="H78" s="114"/>
    </row>
    <row r="79" spans="1:30" s="123" customFormat="1" ht="27.75" customHeight="1" x14ac:dyDescent="0.2">
      <c r="A79" s="118" t="s">
        <v>65</v>
      </c>
      <c r="B79" s="119"/>
      <c r="C79" s="119"/>
      <c r="D79" s="119"/>
      <c r="E79" s="119"/>
      <c r="F79" s="119"/>
      <c r="G79" s="119"/>
      <c r="H79" s="120"/>
      <c r="I79" s="121"/>
      <c r="J79" s="121"/>
      <c r="K79" s="121"/>
      <c r="L79" s="121"/>
      <c r="M79" s="121"/>
      <c r="N79" s="121"/>
      <c r="O79" s="121"/>
      <c r="P79" s="122"/>
      <c r="Q79" s="20"/>
      <c r="R79" s="20"/>
      <c r="S79" s="20"/>
      <c r="T79" s="20"/>
      <c r="U79" s="20"/>
      <c r="V79" s="20"/>
      <c r="W79" s="20"/>
      <c r="X79" s="20"/>
      <c r="Y79" s="20"/>
      <c r="Z79" s="20"/>
      <c r="AA79" s="20"/>
      <c r="AB79" s="20"/>
      <c r="AC79" s="20"/>
      <c r="AD79" s="20"/>
    </row>
    <row r="80" spans="1:30" s="123" customFormat="1" ht="30" customHeight="1" x14ac:dyDescent="0.2">
      <c r="A80" s="124" t="s">
        <v>66</v>
      </c>
      <c r="B80" s="20"/>
      <c r="C80" s="20"/>
      <c r="D80" s="125"/>
      <c r="E80" s="125"/>
      <c r="F80" s="125"/>
      <c r="G80" s="125"/>
      <c r="H80" s="125"/>
      <c r="P80" s="126"/>
      <c r="Q80" s="20"/>
      <c r="R80" s="20"/>
      <c r="S80" s="20"/>
      <c r="T80" s="20"/>
      <c r="U80" s="20"/>
      <c r="V80" s="20"/>
      <c r="W80" s="20"/>
      <c r="X80" s="20"/>
      <c r="Y80" s="20"/>
      <c r="Z80" s="20"/>
      <c r="AA80" s="20"/>
      <c r="AB80" s="20"/>
      <c r="AC80" s="20"/>
      <c r="AD80" s="20"/>
    </row>
    <row r="81" spans="1:30" s="123" customFormat="1" ht="34.5" customHeight="1" x14ac:dyDescent="0.2">
      <c r="A81" s="124" t="s">
        <v>67</v>
      </c>
      <c r="B81" s="20"/>
      <c r="C81" s="20"/>
      <c r="D81" s="20"/>
      <c r="E81" s="20"/>
      <c r="F81" s="20"/>
      <c r="G81" s="20"/>
      <c r="H81" s="125"/>
      <c r="P81" s="126"/>
      <c r="Q81" s="20"/>
      <c r="R81" s="20"/>
      <c r="S81" s="20"/>
      <c r="T81" s="20"/>
      <c r="U81" s="20"/>
      <c r="V81" s="20"/>
      <c r="W81" s="20"/>
      <c r="X81" s="20"/>
      <c r="Y81" s="20"/>
      <c r="Z81" s="20"/>
      <c r="AA81" s="20"/>
      <c r="AB81" s="20"/>
      <c r="AC81" s="20"/>
      <c r="AD81" s="20"/>
    </row>
    <row r="82" spans="1:30" s="123" customFormat="1" ht="32.25" customHeight="1" thickBot="1" x14ac:dyDescent="0.25">
      <c r="A82" s="127" t="s">
        <v>68</v>
      </c>
      <c r="B82" s="128"/>
      <c r="C82" s="128"/>
      <c r="D82" s="128"/>
      <c r="E82" s="128"/>
      <c r="F82" s="128"/>
      <c r="G82" s="128"/>
      <c r="H82" s="129"/>
      <c r="I82" s="130"/>
      <c r="J82" s="130"/>
      <c r="K82" s="130"/>
      <c r="L82" s="130"/>
      <c r="M82" s="130"/>
      <c r="N82" s="130"/>
      <c r="O82" s="130"/>
      <c r="P82" s="131"/>
      <c r="Q82" s="20"/>
      <c r="R82" s="20"/>
      <c r="S82" s="20"/>
      <c r="T82" s="20"/>
      <c r="U82" s="20"/>
      <c r="V82" s="20"/>
      <c r="W82" s="20"/>
      <c r="X82" s="20"/>
      <c r="Y82" s="20"/>
      <c r="Z82" s="20"/>
      <c r="AA82" s="20"/>
      <c r="AB82" s="20"/>
      <c r="AC82" s="20"/>
      <c r="AD82" s="20"/>
    </row>
    <row r="83" spans="1:30" s="123" customFormat="1" ht="13.5" customHeight="1" x14ac:dyDescent="0.2">
      <c r="B83" s="20"/>
      <c r="C83" s="20"/>
      <c r="D83" s="20"/>
      <c r="E83" s="20"/>
      <c r="F83" s="20"/>
      <c r="G83" s="20"/>
      <c r="H83" s="125"/>
      <c r="Q83" s="20"/>
      <c r="R83" s="20"/>
      <c r="S83" s="20"/>
      <c r="T83" s="20"/>
      <c r="U83" s="20"/>
      <c r="V83" s="20"/>
      <c r="W83" s="20"/>
      <c r="X83" s="20"/>
      <c r="Y83" s="20"/>
      <c r="Z83" s="20"/>
      <c r="AA83" s="20"/>
      <c r="AB83" s="20"/>
      <c r="AC83" s="20"/>
      <c r="AD83" s="20"/>
    </row>
    <row r="84" spans="1:30" ht="13.5" customHeight="1" x14ac:dyDescent="0.2">
      <c r="A84" s="132" t="s">
        <v>57</v>
      </c>
      <c r="B84"/>
      <c r="C84"/>
      <c r="D84"/>
      <c r="E84"/>
      <c r="F84"/>
      <c r="G84"/>
      <c r="H84" s="114"/>
    </row>
    <row r="85" spans="1:30" ht="13.5" customHeight="1" x14ac:dyDescent="0.2">
      <c r="A85" s="1"/>
      <c r="B85"/>
      <c r="C85"/>
      <c r="D85" s="114"/>
      <c r="E85" s="114"/>
      <c r="F85" s="114"/>
      <c r="G85" s="114"/>
      <c r="H85" s="114"/>
    </row>
    <row r="86" spans="1:30" ht="13.5" customHeight="1" x14ac:dyDescent="0.2">
      <c r="B86" s="71"/>
      <c r="C86"/>
    </row>
    <row r="87" spans="1:30" ht="13.5" customHeight="1" x14ac:dyDescent="0.2">
      <c r="B87" s="71"/>
      <c r="C87"/>
    </row>
    <row r="88" spans="1:30" ht="13.5" customHeight="1" x14ac:dyDescent="0.2">
      <c r="B88" s="71"/>
      <c r="C88"/>
    </row>
    <row r="89" spans="1:30" ht="15" customHeight="1" x14ac:dyDescent="0.2">
      <c r="B89" s="71"/>
      <c r="C89"/>
    </row>
    <row r="90" spans="1:30" ht="12.75" customHeight="1" x14ac:dyDescent="0.2">
      <c r="B90" s="71"/>
      <c r="C90"/>
    </row>
    <row r="91" spans="1:30" ht="15" customHeight="1" x14ac:dyDescent="0.2">
      <c r="B91" s="71"/>
      <c r="C91"/>
    </row>
    <row r="92" spans="1:30" ht="15" customHeight="1" x14ac:dyDescent="0.2">
      <c r="B92" s="71"/>
      <c r="C92"/>
    </row>
    <row r="93" spans="1:30" ht="12" customHeight="1" x14ac:dyDescent="0.2">
      <c r="B93" s="71"/>
      <c r="C93"/>
    </row>
    <row r="94" spans="1:30" ht="14.25" customHeight="1" x14ac:dyDescent="0.2">
      <c r="B94" s="71"/>
      <c r="C94"/>
    </row>
    <row r="95" spans="1:30" ht="12.75" customHeight="1" x14ac:dyDescent="0.2">
      <c r="B95" s="71"/>
      <c r="C95"/>
    </row>
    <row r="96" spans="1:30" ht="12.75" customHeight="1" x14ac:dyDescent="0.2">
      <c r="B96" s="71"/>
      <c r="C96"/>
    </row>
    <row r="97" spans="2:3" ht="12.75" customHeight="1" x14ac:dyDescent="0.2">
      <c r="B97" s="71"/>
      <c r="C97"/>
    </row>
    <row r="98" spans="2:3" ht="12.75" customHeight="1" x14ac:dyDescent="0.2">
      <c r="B98" s="71"/>
      <c r="C98"/>
    </row>
    <row r="99" spans="2:3" ht="12.75" customHeight="1" x14ac:dyDescent="0.2">
      <c r="B99" s="71"/>
      <c r="C99"/>
    </row>
    <row r="100" spans="2:3" x14ac:dyDescent="0.2">
      <c r="B100" s="71"/>
      <c r="C100"/>
    </row>
    <row r="101" spans="2:3" x14ac:dyDescent="0.2">
      <c r="B101" s="71"/>
      <c r="C101"/>
    </row>
  </sheetData>
  <mergeCells count="1">
    <mergeCell ref="A1:L1"/>
  </mergeCells>
  <phoneticPr fontId="0" type="noConversion"/>
  <conditionalFormatting sqref="Q9:Q38 Q53:Q59">
    <cfRule type="cellIs" dxfId="1" priority="1" stopIfTrue="1" operator="notEqual">
      <formula>$D$9</formula>
    </cfRule>
  </conditionalFormatting>
  <conditionalFormatting sqref="Q41:Q47">
    <cfRule type="cellIs" dxfId="0" priority="9" stopIfTrue="1" operator="notEqual">
      <formula>$D$9</formula>
    </cfRule>
  </conditionalFormatting>
  <pageMargins left="0.43" right="0.46" top="0.4" bottom="0.3" header="0.38" footer="0.41"/>
  <pageSetup paperSize="5" scale="55" orientation="landscape" r:id="rId1"/>
  <headerFooter alignWithMargins="0"/>
  <rowBreaks count="2" manualBreakCount="2">
    <brk id="48" max="16383" man="1"/>
    <brk id="70"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D10"/>
  <sheetViews>
    <sheetView topLeftCell="J1" workbookViewId="0">
      <selection activeCell="V29" sqref="V29"/>
    </sheetView>
  </sheetViews>
  <sheetFormatPr defaultRowHeight="12.75" x14ac:dyDescent="0.2"/>
  <cols>
    <col min="1" max="1" width="24.5703125" customWidth="1"/>
    <col min="2" max="2" width="21.140625" bestFit="1" customWidth="1"/>
    <col min="3" max="3" width="16.5703125" bestFit="1" customWidth="1"/>
    <col min="4" max="4" width="18.5703125" bestFit="1" customWidth="1"/>
    <col min="5" max="5" width="15.85546875" bestFit="1" customWidth="1"/>
    <col min="6" max="6" width="12.85546875" bestFit="1" customWidth="1"/>
    <col min="7" max="8" width="15.140625" bestFit="1" customWidth="1"/>
    <col min="9" max="16" width="21.85546875" customWidth="1"/>
    <col min="17" max="17" width="11.5703125" bestFit="1" customWidth="1"/>
  </cols>
  <sheetData>
    <row r="3" spans="1:30" s="1" customFormat="1" ht="15.75" x14ac:dyDescent="0.25">
      <c r="A3" s="73"/>
      <c r="B3" s="58"/>
      <c r="C3" s="27" t="s">
        <v>17</v>
      </c>
      <c r="D3" s="28" t="s">
        <v>22</v>
      </c>
      <c r="E3" s="28" t="s">
        <v>7</v>
      </c>
      <c r="F3" s="28" t="s">
        <v>8</v>
      </c>
      <c r="G3" s="28" t="s">
        <v>9</v>
      </c>
      <c r="H3" s="28" t="s">
        <v>10</v>
      </c>
      <c r="I3" s="25" t="s">
        <v>2</v>
      </c>
      <c r="J3" s="25" t="s">
        <v>3</v>
      </c>
      <c r="K3" s="25" t="s">
        <v>4</v>
      </c>
      <c r="L3" s="25" t="s">
        <v>5</v>
      </c>
      <c r="M3" s="29" t="s">
        <v>12</v>
      </c>
      <c r="N3" s="29" t="s">
        <v>13</v>
      </c>
      <c r="O3" s="29" t="s">
        <v>14</v>
      </c>
      <c r="P3" s="30" t="s">
        <v>15</v>
      </c>
      <c r="Q3"/>
      <c r="R3"/>
      <c r="S3"/>
      <c r="T3"/>
      <c r="U3"/>
      <c r="V3"/>
      <c r="W3"/>
      <c r="X3"/>
      <c r="Y3"/>
      <c r="Z3"/>
      <c r="AA3"/>
      <c r="AB3"/>
      <c r="AC3"/>
      <c r="AD3"/>
    </row>
    <row r="4" spans="1:30" s="1" customFormat="1" x14ac:dyDescent="0.2">
      <c r="A4" s="74" t="s">
        <v>48</v>
      </c>
      <c r="B4" s="59"/>
      <c r="C4" s="165">
        <f>'Fund Balance Projection'!C5</f>
        <v>78.5</v>
      </c>
      <c r="D4" s="165">
        <f>'Fund Balance Projection'!D5</f>
        <v>72.069999999999993</v>
      </c>
      <c r="E4" s="167">
        <f>'Fund Balance Projection'!E5</f>
        <v>70</v>
      </c>
      <c r="F4" s="167">
        <f>'Fund Balance Projection'!F5</f>
        <v>70</v>
      </c>
      <c r="G4" s="167">
        <f>'Fund Balance Projection'!G5</f>
        <v>73</v>
      </c>
      <c r="H4" s="167">
        <f>'Fund Balance Projection'!H5</f>
        <v>72</v>
      </c>
      <c r="I4" s="167">
        <f>'Fund Balance Projection'!I5</f>
        <v>72</v>
      </c>
      <c r="J4" s="167">
        <f>'Fund Balance Projection'!J5</f>
        <v>76</v>
      </c>
      <c r="K4" s="167">
        <f>'Fund Balance Projection'!K5</f>
        <v>73</v>
      </c>
      <c r="L4" s="178">
        <f>'Fund Balance Projection'!L5</f>
        <v>64</v>
      </c>
      <c r="M4" s="178">
        <f>'Fund Balance Projection'!M5</f>
        <v>61</v>
      </c>
      <c r="N4" s="178">
        <f>'Fund Balance Projection'!N5</f>
        <v>61</v>
      </c>
      <c r="O4" s="178">
        <f>'Fund Balance Projection'!O5</f>
        <v>0</v>
      </c>
      <c r="P4" s="178">
        <f>'Fund Balance Projection'!P5</f>
        <v>0</v>
      </c>
      <c r="Q4"/>
      <c r="R4"/>
      <c r="S4"/>
      <c r="T4"/>
      <c r="U4"/>
      <c r="V4"/>
      <c r="W4"/>
      <c r="X4"/>
      <c r="Y4"/>
      <c r="Z4"/>
      <c r="AA4"/>
      <c r="AB4"/>
      <c r="AC4"/>
      <c r="AD4"/>
    </row>
    <row r="5" spans="1:30" s="1" customFormat="1" x14ac:dyDescent="0.2">
      <c r="A5" s="75" t="s">
        <v>47</v>
      </c>
      <c r="B5" s="60" t="s">
        <v>64</v>
      </c>
      <c r="C5" s="27" t="s">
        <v>17</v>
      </c>
      <c r="D5" s="28" t="s">
        <v>22</v>
      </c>
      <c r="E5" s="34" t="s">
        <v>56</v>
      </c>
      <c r="F5" s="34" t="s">
        <v>59</v>
      </c>
      <c r="G5" s="34" t="s">
        <v>63</v>
      </c>
      <c r="H5" s="34" t="s">
        <v>52</v>
      </c>
      <c r="I5" s="26" t="s">
        <v>60</v>
      </c>
      <c r="J5" s="26" t="s">
        <v>53</v>
      </c>
      <c r="K5" s="26" t="s">
        <v>54</v>
      </c>
      <c r="L5" s="26" t="s">
        <v>55</v>
      </c>
      <c r="M5" s="29" t="s">
        <v>61</v>
      </c>
      <c r="N5" s="29" t="s">
        <v>50</v>
      </c>
      <c r="O5" s="29" t="s">
        <v>62</v>
      </c>
      <c r="P5" s="30" t="s">
        <v>51</v>
      </c>
      <c r="Q5" s="32" t="s">
        <v>46</v>
      </c>
      <c r="R5"/>
      <c r="S5"/>
      <c r="T5"/>
      <c r="U5"/>
      <c r="V5"/>
      <c r="W5"/>
      <c r="X5"/>
      <c r="Y5"/>
      <c r="Z5"/>
      <c r="AA5"/>
      <c r="AB5"/>
      <c r="AC5"/>
      <c r="AD5"/>
    </row>
    <row r="6" spans="1:30" s="1" customFormat="1" x14ac:dyDescent="0.2">
      <c r="A6" s="62"/>
      <c r="B6" s="61"/>
      <c r="C6" s="35" t="s">
        <v>6</v>
      </c>
      <c r="D6" s="38" t="s">
        <v>34</v>
      </c>
      <c r="E6" s="141" t="s">
        <v>108</v>
      </c>
      <c r="F6" s="142" t="s">
        <v>108</v>
      </c>
      <c r="G6" s="142" t="s">
        <v>108</v>
      </c>
      <c r="H6" s="142" t="s">
        <v>108</v>
      </c>
      <c r="I6" s="142" t="s">
        <v>108</v>
      </c>
      <c r="J6" s="142" t="s">
        <v>108</v>
      </c>
      <c r="K6" s="142" t="s">
        <v>108</v>
      </c>
      <c r="L6" s="142" t="s">
        <v>108</v>
      </c>
      <c r="M6" s="142" t="s">
        <v>108</v>
      </c>
      <c r="N6" s="142" t="s">
        <v>108</v>
      </c>
      <c r="O6" s="142" t="s">
        <v>108</v>
      </c>
      <c r="P6" s="188" t="s">
        <v>123</v>
      </c>
      <c r="Q6" s="194" t="s">
        <v>122</v>
      </c>
      <c r="R6"/>
      <c r="S6"/>
      <c r="T6"/>
      <c r="U6"/>
      <c r="V6"/>
      <c r="W6"/>
      <c r="X6"/>
      <c r="Y6"/>
      <c r="Z6"/>
      <c r="AA6"/>
      <c r="AB6"/>
      <c r="AC6"/>
      <c r="AD6"/>
    </row>
    <row r="7" spans="1:30" s="2" customFormat="1" ht="25.5" x14ac:dyDescent="0.2">
      <c r="A7" s="79" t="s">
        <v>69</v>
      </c>
      <c r="B7" s="82" t="s">
        <v>96</v>
      </c>
      <c r="C7" s="12">
        <f>'Fund Balance Projection'!C39</f>
        <v>2484174</v>
      </c>
      <c r="D7" s="12">
        <f>'Fund Balance Projection'!D39</f>
        <v>2737712.21</v>
      </c>
      <c r="E7" s="12">
        <f>'Fund Balance Projection'!E39</f>
        <v>215609.33000000002</v>
      </c>
      <c r="F7" s="12">
        <f>'Fund Balance Projection'!F39</f>
        <v>185994.65000000002</v>
      </c>
      <c r="G7" s="12">
        <f>'Fund Balance Projection'!G39</f>
        <v>141941.51999999999</v>
      </c>
      <c r="H7" s="12">
        <f>'Fund Balance Projection'!H39</f>
        <v>269628.12</v>
      </c>
      <c r="I7" s="12">
        <f>'Fund Balance Projection'!I39</f>
        <v>239376.89000000004</v>
      </c>
      <c r="J7" s="12">
        <f>'Fund Balance Projection'!J39</f>
        <v>257299.32</v>
      </c>
      <c r="K7" s="12">
        <f>'Fund Balance Projection'!K39</f>
        <v>225803.68999999997</v>
      </c>
      <c r="L7" s="12">
        <f>'Fund Balance Projection'!L39</f>
        <v>233898.68000000002</v>
      </c>
      <c r="M7" s="12">
        <f>'Fund Balance Projection'!M39</f>
        <v>135259.18999999997</v>
      </c>
      <c r="N7" s="12">
        <f>'Fund Balance Projection'!N39</f>
        <v>238062.09999999998</v>
      </c>
      <c r="O7" s="12">
        <f>'Fund Balance Projection'!O39</f>
        <v>338173.93999999994</v>
      </c>
      <c r="P7" s="12">
        <f>'Fund Balance Projection'!P39</f>
        <v>247918.03999999998</v>
      </c>
      <c r="Q7"/>
      <c r="R7"/>
      <c r="S7"/>
      <c r="T7"/>
      <c r="U7"/>
      <c r="V7"/>
      <c r="W7"/>
      <c r="X7"/>
      <c r="Y7"/>
      <c r="Z7"/>
      <c r="AA7"/>
      <c r="AB7"/>
      <c r="AC7"/>
      <c r="AD7"/>
    </row>
    <row r="8" spans="1:30" s="1" customFormat="1" ht="25.5" x14ac:dyDescent="0.2">
      <c r="A8" s="79" t="s">
        <v>0</v>
      </c>
      <c r="B8" s="83" t="s">
        <v>92</v>
      </c>
      <c r="C8" s="49">
        <f>'Fund Balance Projection'!C48</f>
        <v>2495074</v>
      </c>
      <c r="D8" s="49">
        <f>'Fund Balance Projection'!D48</f>
        <v>2764567.27</v>
      </c>
      <c r="E8" s="49">
        <f>'Fund Balance Projection'!E48</f>
        <v>216404.58000000002</v>
      </c>
      <c r="F8" s="49">
        <f>'Fund Balance Projection'!F48</f>
        <v>187256.10000000003</v>
      </c>
      <c r="G8" s="49">
        <f>'Fund Balance Projection'!G48</f>
        <v>142983.84</v>
      </c>
      <c r="H8" s="49">
        <f>'Fund Balance Projection'!H48</f>
        <v>271191.31</v>
      </c>
      <c r="I8" s="49">
        <f>'Fund Balance Projection'!I48</f>
        <v>241152.87000000005</v>
      </c>
      <c r="J8" s="49">
        <f>'Fund Balance Projection'!J48</f>
        <v>259673.77</v>
      </c>
      <c r="K8" s="49">
        <f>'Fund Balance Projection'!K48</f>
        <v>226904.49999999997</v>
      </c>
      <c r="L8" s="49">
        <f>'Fund Balance Projection'!L48</f>
        <v>238302.65000000002</v>
      </c>
      <c r="M8" s="49">
        <f>'Fund Balance Projection'!M48</f>
        <v>138832.23999999996</v>
      </c>
      <c r="N8" s="49">
        <f>'Fund Balance Projection'!N48</f>
        <v>240416.64999999997</v>
      </c>
      <c r="O8" s="49">
        <f>'Fund Balance Projection'!O48</f>
        <v>343530.92999999993</v>
      </c>
      <c r="P8" s="49">
        <f>'Fund Balance Projection'!P48</f>
        <v>249171.08999999997</v>
      </c>
      <c r="Q8"/>
      <c r="R8"/>
      <c r="S8"/>
      <c r="T8"/>
      <c r="U8"/>
      <c r="V8"/>
      <c r="W8"/>
      <c r="X8"/>
      <c r="Y8"/>
      <c r="Z8"/>
      <c r="AA8"/>
      <c r="AB8"/>
      <c r="AC8"/>
      <c r="AD8"/>
    </row>
    <row r="9" spans="1:30" s="1" customFormat="1" ht="25.5" x14ac:dyDescent="0.2">
      <c r="A9" s="79" t="s">
        <v>87</v>
      </c>
      <c r="B9" s="83" t="s">
        <v>92</v>
      </c>
      <c r="C9" s="49">
        <f>'Fund Balance Projection'!C61</f>
        <v>2799959</v>
      </c>
      <c r="D9" s="49">
        <f>'Fund Balance Projection'!D61</f>
        <v>2729425</v>
      </c>
      <c r="E9" s="49">
        <f>'Fund Balance Projection'!E61</f>
        <v>297568.74</v>
      </c>
      <c r="F9" s="49">
        <f>'Fund Balance Projection'!F61</f>
        <v>199355.38</v>
      </c>
      <c r="G9" s="49">
        <f>'Fund Balance Projection'!G61</f>
        <v>243257.38999999998</v>
      </c>
      <c r="H9" s="49">
        <f>'Fund Balance Projection'!H61</f>
        <v>204309.49000000002</v>
      </c>
      <c r="I9" s="49">
        <f>'Fund Balance Projection'!I61</f>
        <v>229064.31</v>
      </c>
      <c r="J9" s="49">
        <f>'Fund Balance Projection'!J61</f>
        <v>207205.09</v>
      </c>
      <c r="K9" s="49">
        <f>'Fund Balance Projection'!K61</f>
        <v>183095.66</v>
      </c>
      <c r="L9" s="49">
        <f>'Fund Balance Projection'!L61</f>
        <v>232910.25</v>
      </c>
      <c r="M9" s="49">
        <f>'Fund Balance Projection'!M61</f>
        <v>241346.2</v>
      </c>
      <c r="N9" s="49">
        <f>'Fund Balance Projection'!N61</f>
        <v>264930.79000000004</v>
      </c>
      <c r="O9" s="49">
        <f>'Fund Balance Projection'!O61</f>
        <v>195495.55000000002</v>
      </c>
      <c r="P9" s="49">
        <f>'Fund Balance Projection'!P61</f>
        <v>205886.31</v>
      </c>
      <c r="Q9"/>
      <c r="R9"/>
      <c r="S9"/>
      <c r="T9"/>
      <c r="U9"/>
      <c r="V9"/>
      <c r="W9"/>
      <c r="X9"/>
      <c r="Y9"/>
      <c r="Z9"/>
      <c r="AA9"/>
      <c r="AB9"/>
      <c r="AC9"/>
      <c r="AD9"/>
    </row>
    <row r="10" spans="1:30" s="1" customFormat="1" ht="26.25" thickBot="1" x14ac:dyDescent="0.25">
      <c r="A10" s="134" t="s">
        <v>91</v>
      </c>
      <c r="B10" s="110" t="s">
        <v>92</v>
      </c>
      <c r="C10" s="111">
        <f>'Fund Balance Projection'!C68</f>
        <v>26115</v>
      </c>
      <c r="D10" s="111">
        <f>'Fund Balance Projection'!D68</f>
        <v>440764.91000000015</v>
      </c>
      <c r="E10" s="111">
        <f>'Fund Balance Projection'!E68</f>
        <v>324458.48</v>
      </c>
      <c r="F10" s="111">
        <f>'Fund Balance Projection'!F68</f>
        <v>312359.2</v>
      </c>
      <c r="G10" s="111">
        <f>'Fund Balance Projection'!G68</f>
        <v>212085.65000000005</v>
      </c>
      <c r="H10" s="111">
        <f>'Fund Balance Projection'!H68</f>
        <v>278967.47000000009</v>
      </c>
      <c r="I10" s="111">
        <f>'Fund Balance Projection'!I68</f>
        <v>291056.03000000014</v>
      </c>
      <c r="J10" s="111">
        <f>'Fund Balance Projection'!J68</f>
        <v>343524.7100000002</v>
      </c>
      <c r="K10" s="111">
        <f>'Fund Balance Projection'!K68</f>
        <v>387333.55000000016</v>
      </c>
      <c r="L10" s="111">
        <f>'Fund Balance Projection'!L68</f>
        <v>392725.95000000019</v>
      </c>
      <c r="M10" s="111">
        <f>'Fund Balance Projection'!M68</f>
        <v>290211.99000000017</v>
      </c>
      <c r="N10" s="111">
        <f>'Fund Balance Projection'!N68</f>
        <v>265697.85000000009</v>
      </c>
      <c r="O10" s="111">
        <f>'Fund Balance Projection'!O68</f>
        <v>413733.23</v>
      </c>
      <c r="P10" s="111">
        <f>'Fund Balance Projection'!P68</f>
        <v>457018.00999999995</v>
      </c>
      <c r="Q10"/>
      <c r="R10"/>
      <c r="S10"/>
      <c r="T10"/>
      <c r="U10"/>
      <c r="V10"/>
      <c r="W10"/>
      <c r="X10"/>
      <c r="Y10"/>
      <c r="Z10"/>
      <c r="AA10"/>
      <c r="AB10"/>
      <c r="AC10"/>
      <c r="AD1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 Balance Projection</vt:lpstr>
      <vt:lpstr>Summary</vt:lpstr>
      <vt:lpstr>'Fund Balance Projection'!Print_Area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Casandra Doll</cp:lastModifiedBy>
  <cp:lastPrinted>2010-02-05T00:40:01Z</cp:lastPrinted>
  <dcterms:created xsi:type="dcterms:W3CDTF">1998-01-11T12:15:28Z</dcterms:created>
  <dcterms:modified xsi:type="dcterms:W3CDTF">2023-09-15T22:05:59Z</dcterms:modified>
</cp:coreProperties>
</file>