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Business Manager Services\Business Mgmt. Services District Specific\North River\2025-26\Month End\September\"/>
    </mc:Choice>
  </mc:AlternateContent>
  <xr:revisionPtr revIDLastSave="0" documentId="13_ncr:1_{699E093F-3710-482F-ACFB-0208B4C381D8}" xr6:coauthVersionLast="47" xr6:coauthVersionMax="47" xr10:uidLastSave="{00000000-0000-0000-0000-000000000000}"/>
  <bookViews>
    <workbookView xWindow="28680" yWindow="-15" windowWidth="29040" windowHeight="15720" tabRatio="424" xr2:uid="{00000000-000D-0000-FFFF-FFFF00000000}"/>
  </bookViews>
  <sheets>
    <sheet name="Fund Balance Projection" sheetId="1" r:id="rId1"/>
    <sheet name="Summary" sheetId="2" r:id="rId2"/>
    <sheet name="Assumptions" sheetId="3" r:id="rId3"/>
  </sheets>
  <definedNames>
    <definedName name="_xlnm.Print_Area" localSheetId="0">'Fund Balance Projection'!$A$1:$P$84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P59" i="1"/>
  <c r="Q59" i="1" s="1"/>
  <c r="R59" i="1" s="1"/>
  <c r="E54" i="1"/>
  <c r="D46" i="1"/>
  <c r="D47" i="1"/>
  <c r="F47" i="1" s="1"/>
  <c r="D45" i="1"/>
  <c r="F45" i="1" s="1"/>
  <c r="G45" i="1" s="1"/>
  <c r="D40" i="1"/>
  <c r="D41" i="1"/>
  <c r="D39" i="1"/>
  <c r="D10" i="1"/>
  <c r="L10" i="1" s="1"/>
  <c r="D11" i="1"/>
  <c r="O11" i="1" s="1"/>
  <c r="D12" i="1"/>
  <c r="F12" i="1" s="1"/>
  <c r="D13" i="1"/>
  <c r="I13" i="1" s="1"/>
  <c r="D14" i="1"/>
  <c r="O14" i="1" s="1"/>
  <c r="D15" i="1"/>
  <c r="I15" i="1" s="1"/>
  <c r="D16" i="1"/>
  <c r="G16" i="1" s="1"/>
  <c r="D17" i="1"/>
  <c r="F17" i="1" s="1"/>
  <c r="D18" i="1"/>
  <c r="J18" i="1" s="1"/>
  <c r="D19" i="1"/>
  <c r="O19" i="1" s="1"/>
  <c r="Q19" i="1" s="1"/>
  <c r="R19" i="1" s="1"/>
  <c r="D20" i="1"/>
  <c r="O20" i="1" s="1"/>
  <c r="Q20" i="1" s="1"/>
  <c r="R20" i="1" s="1"/>
  <c r="D21" i="1"/>
  <c r="H21" i="1" s="1"/>
  <c r="D22" i="1"/>
  <c r="F22" i="1" s="1"/>
  <c r="D23" i="1"/>
  <c r="O23" i="1" s="1"/>
  <c r="D24" i="1"/>
  <c r="N24" i="1" s="1"/>
  <c r="D25" i="1"/>
  <c r="D26" i="1"/>
  <c r="F26" i="1" s="1"/>
  <c r="G26" i="1" s="1"/>
  <c r="D27" i="1"/>
  <c r="D28" i="1"/>
  <c r="F28" i="1" s="1"/>
  <c r="D29" i="1"/>
  <c r="F29" i="1" s="1"/>
  <c r="D30" i="1"/>
  <c r="D31" i="1"/>
  <c r="K31" i="1" s="1"/>
  <c r="D9" i="1"/>
  <c r="M9" i="1" s="1"/>
  <c r="C67" i="1"/>
  <c r="C73" i="1" s="1"/>
  <c r="B7" i="2" s="1"/>
  <c r="E75" i="1"/>
  <c r="F51" i="1"/>
  <c r="F52" i="1"/>
  <c r="F55" i="1"/>
  <c r="E56" i="1"/>
  <c r="E57" i="1"/>
  <c r="F38" i="1"/>
  <c r="G38" i="1" s="1"/>
  <c r="F43" i="1"/>
  <c r="G43" i="1" s="1"/>
  <c r="F44" i="1"/>
  <c r="G44" i="1" s="1"/>
  <c r="E72" i="1"/>
  <c r="F72" i="1" s="1"/>
  <c r="G72" i="1" s="1"/>
  <c r="F32" i="1"/>
  <c r="F33" i="1"/>
  <c r="F34" i="1"/>
  <c r="F35" i="1"/>
  <c r="G64" i="1"/>
  <c r="F65" i="1"/>
  <c r="F66" i="1"/>
  <c r="G32" i="1"/>
  <c r="G33" i="1"/>
  <c r="G34" i="1"/>
  <c r="G35" i="1"/>
  <c r="G66" i="1"/>
  <c r="H32" i="1"/>
  <c r="H33" i="1"/>
  <c r="H34" i="1"/>
  <c r="H35" i="1"/>
  <c r="I35" i="1"/>
  <c r="J51" i="1"/>
  <c r="J35" i="1"/>
  <c r="K35" i="1"/>
  <c r="L35" i="1"/>
  <c r="M35" i="1"/>
  <c r="N35" i="1"/>
  <c r="O12" i="1"/>
  <c r="O35" i="1"/>
  <c r="P71" i="1"/>
  <c r="D78" i="1"/>
  <c r="D79" i="1" s="1"/>
  <c r="E4" i="2"/>
  <c r="F4" i="2"/>
  <c r="G4" i="2"/>
  <c r="H4" i="2"/>
  <c r="I4" i="2"/>
  <c r="J4" i="2"/>
  <c r="K4" i="2"/>
  <c r="L4" i="2"/>
  <c r="M4" i="2"/>
  <c r="N4" i="2"/>
  <c r="O4" i="2"/>
  <c r="D4" i="2"/>
  <c r="C8" i="2"/>
  <c r="B8" i="2"/>
  <c r="A1" i="2"/>
  <c r="R71" i="1"/>
  <c r="Q69" i="1"/>
  <c r="R69" i="1" s="1"/>
  <c r="Q70" i="1"/>
  <c r="R70" i="1" s="1"/>
  <c r="Q68" i="1"/>
  <c r="R68" i="1" s="1"/>
  <c r="C5" i="2"/>
  <c r="D5" i="2"/>
  <c r="E5" i="2"/>
  <c r="F5" i="2"/>
  <c r="G5" i="2"/>
  <c r="H5" i="2"/>
  <c r="I5" i="2"/>
  <c r="J5" i="2"/>
  <c r="K5" i="2"/>
  <c r="L5" i="2"/>
  <c r="M5" i="2"/>
  <c r="N5" i="2"/>
  <c r="O5" i="2"/>
  <c r="B5" i="2"/>
  <c r="C78" i="1"/>
  <c r="C79" i="1" s="1"/>
  <c r="Q58" i="1"/>
  <c r="R58" i="1" s="1"/>
  <c r="C48" i="1"/>
  <c r="C60" i="1" s="1"/>
  <c r="C76" i="1" s="1"/>
  <c r="J12" i="1" l="1"/>
  <c r="L12" i="1"/>
  <c r="J13" i="1"/>
  <c r="H15" i="1"/>
  <c r="N13" i="1"/>
  <c r="F31" i="1"/>
  <c r="N12" i="1"/>
  <c r="H13" i="1"/>
  <c r="G12" i="1"/>
  <c r="K12" i="1"/>
  <c r="I12" i="1"/>
  <c r="H12" i="1"/>
  <c r="M12" i="1"/>
  <c r="G21" i="1"/>
  <c r="I10" i="1"/>
  <c r="N18" i="1"/>
  <c r="N11" i="1"/>
  <c r="M10" i="1"/>
  <c r="F18" i="1"/>
  <c r="K18" i="1"/>
  <c r="J10" i="1"/>
  <c r="H10" i="1"/>
  <c r="G18" i="1"/>
  <c r="O18" i="1"/>
  <c r="F10" i="1"/>
  <c r="N10" i="1"/>
  <c r="L18" i="1"/>
  <c r="K10" i="1"/>
  <c r="G10" i="1"/>
  <c r="O10" i="1"/>
  <c r="I18" i="1"/>
  <c r="H18" i="1"/>
  <c r="M18" i="1"/>
  <c r="O15" i="1"/>
  <c r="G15" i="1"/>
  <c r="I23" i="1"/>
  <c r="F9" i="1"/>
  <c r="N17" i="1"/>
  <c r="H14" i="1"/>
  <c r="I33" i="1"/>
  <c r="J33" i="1" s="1"/>
  <c r="K33" i="1" s="1"/>
  <c r="L9" i="1"/>
  <c r="P35" i="1"/>
  <c r="Q35" i="1" s="1"/>
  <c r="R35" i="1" s="1"/>
  <c r="M23" i="1"/>
  <c r="O9" i="1"/>
  <c r="L24" i="1"/>
  <c r="F23" i="1"/>
  <c r="G29" i="1"/>
  <c r="H29" i="1" s="1"/>
  <c r="N16" i="1"/>
  <c r="I16" i="1"/>
  <c r="M16" i="1"/>
  <c r="L23" i="1"/>
  <c r="K24" i="1"/>
  <c r="J23" i="1"/>
  <c r="H31" i="1"/>
  <c r="G24" i="1"/>
  <c r="G9" i="1"/>
  <c r="L31" i="1"/>
  <c r="J9" i="1"/>
  <c r="K23" i="1"/>
  <c r="I9" i="1"/>
  <c r="H24" i="1"/>
  <c r="H9" i="1"/>
  <c r="G23" i="1"/>
  <c r="F16" i="1"/>
  <c r="N31" i="1"/>
  <c r="J16" i="1"/>
  <c r="H23" i="1"/>
  <c r="G22" i="1"/>
  <c r="K9" i="1"/>
  <c r="N23" i="1"/>
  <c r="N9" i="1"/>
  <c r="O13" i="1"/>
  <c r="M15" i="1"/>
  <c r="K15" i="1"/>
  <c r="J31" i="1"/>
  <c r="J11" i="1"/>
  <c r="I31" i="1"/>
  <c r="F21" i="1"/>
  <c r="I21" i="1" s="1"/>
  <c r="J21" i="1" s="1"/>
  <c r="M13" i="1"/>
  <c r="K13" i="1"/>
  <c r="H22" i="1"/>
  <c r="G31" i="1"/>
  <c r="G14" i="1"/>
  <c r="K14" i="1"/>
  <c r="O31" i="1"/>
  <c r="N15" i="1"/>
  <c r="L15" i="1"/>
  <c r="G13" i="1"/>
  <c r="F15" i="1"/>
  <c r="N14" i="1"/>
  <c r="M31" i="1"/>
  <c r="L14" i="1"/>
  <c r="J15" i="1"/>
  <c r="F13" i="1"/>
  <c r="L13" i="1"/>
  <c r="J14" i="1"/>
  <c r="H26" i="1"/>
  <c r="I26" i="1" s="1"/>
  <c r="J26" i="1" s="1"/>
  <c r="K26" i="1" s="1"/>
  <c r="F46" i="1"/>
  <c r="G46" i="1" s="1"/>
  <c r="F39" i="1"/>
  <c r="G39" i="1" s="1"/>
  <c r="O16" i="1"/>
  <c r="M14" i="1"/>
  <c r="J24" i="1"/>
  <c r="I14" i="1"/>
  <c r="F24" i="1"/>
  <c r="F14" i="1"/>
  <c r="O24" i="1"/>
  <c r="M24" i="1"/>
  <c r="L11" i="1"/>
  <c r="K11" i="1"/>
  <c r="I24" i="1"/>
  <c r="H11" i="1"/>
  <c r="G11" i="1"/>
  <c r="O17" i="1"/>
  <c r="D48" i="1"/>
  <c r="D60" i="1" s="1"/>
  <c r="D76" i="1" s="1"/>
  <c r="M11" i="1"/>
  <c r="J17" i="1"/>
  <c r="I11" i="1"/>
  <c r="F11" i="1"/>
  <c r="L17" i="1"/>
  <c r="K17" i="1"/>
  <c r="H17" i="1"/>
  <c r="G17" i="1"/>
  <c r="M17" i="1"/>
  <c r="L16" i="1"/>
  <c r="K16" i="1"/>
  <c r="I17" i="1"/>
  <c r="H16" i="1"/>
  <c r="F30" i="1"/>
  <c r="G30" i="1" s="1"/>
  <c r="G67" i="1"/>
  <c r="H66" i="1"/>
  <c r="I66" i="1" s="1"/>
  <c r="H72" i="1"/>
  <c r="I72" i="1" s="1"/>
  <c r="F56" i="1"/>
  <c r="G56" i="1" s="1"/>
  <c r="D73" i="1"/>
  <c r="D77" i="1" s="1"/>
  <c r="F40" i="1"/>
  <c r="G40" i="1" s="1"/>
  <c r="C77" i="1"/>
  <c r="C80" i="1" s="1"/>
  <c r="G28" i="1"/>
  <c r="H44" i="1"/>
  <c r="I44" i="1" s="1"/>
  <c r="J44" i="1" s="1"/>
  <c r="B6" i="2"/>
  <c r="F41" i="1"/>
  <c r="I32" i="1"/>
  <c r="J32" i="1" s="1"/>
  <c r="K32" i="1" s="1"/>
  <c r="G52" i="1"/>
  <c r="H43" i="1"/>
  <c r="F25" i="1"/>
  <c r="G25" i="1" s="1"/>
  <c r="H38" i="1"/>
  <c r="I38" i="1" s="1"/>
  <c r="I34" i="1"/>
  <c r="F42" i="1"/>
  <c r="G55" i="1"/>
  <c r="H55" i="1" s="1"/>
  <c r="G51" i="1"/>
  <c r="H45" i="1"/>
  <c r="I45" i="1" s="1"/>
  <c r="G47" i="1"/>
  <c r="H47" i="1" s="1"/>
  <c r="F67" i="1"/>
  <c r="F64" i="1"/>
  <c r="H64" i="1" s="1"/>
  <c r="F27" i="1"/>
  <c r="F57" i="1"/>
  <c r="F54" i="1"/>
  <c r="G54" i="1" s="1"/>
  <c r="E73" i="1"/>
  <c r="F53" i="1"/>
  <c r="G65" i="1"/>
  <c r="H65" i="1" s="1"/>
  <c r="P10" i="1" l="1"/>
  <c r="Q10" i="1" s="1"/>
  <c r="R10" i="1" s="1"/>
  <c r="P12" i="1"/>
  <c r="Q12" i="1" s="1"/>
  <c r="R12" i="1" s="1"/>
  <c r="P18" i="1"/>
  <c r="Q18" i="1" s="1"/>
  <c r="R18" i="1" s="1"/>
  <c r="P13" i="1"/>
  <c r="Q13" i="1" s="1"/>
  <c r="R13" i="1" s="1"/>
  <c r="P14" i="1"/>
  <c r="Q14" i="1" s="1"/>
  <c r="R14" i="1" s="1"/>
  <c r="I22" i="1"/>
  <c r="J22" i="1" s="1"/>
  <c r="P23" i="1"/>
  <c r="Q23" i="1" s="1"/>
  <c r="R23" i="1" s="1"/>
  <c r="P17" i="1"/>
  <c r="Q17" i="1" s="1"/>
  <c r="R17" i="1" s="1"/>
  <c r="P16" i="1"/>
  <c r="Q16" i="1" s="1"/>
  <c r="R16" i="1" s="1"/>
  <c r="P9" i="1"/>
  <c r="Q9" i="1" s="1"/>
  <c r="R9" i="1" s="1"/>
  <c r="P11" i="1"/>
  <c r="Q11" i="1" s="1"/>
  <c r="R11" i="1" s="1"/>
  <c r="P31" i="1"/>
  <c r="Q31" i="1" s="1"/>
  <c r="R31" i="1" s="1"/>
  <c r="P15" i="1"/>
  <c r="Q15" i="1" s="1"/>
  <c r="R15" i="1" s="1"/>
  <c r="P24" i="1"/>
  <c r="Q24" i="1" s="1"/>
  <c r="R24" i="1" s="1"/>
  <c r="H30" i="1"/>
  <c r="I30" i="1" s="1"/>
  <c r="K44" i="1"/>
  <c r="L44" i="1" s="1"/>
  <c r="I55" i="1"/>
  <c r="J55" i="1" s="1"/>
  <c r="E48" i="1"/>
  <c r="E60" i="1" s="1"/>
  <c r="E76" i="1" s="1"/>
  <c r="H39" i="1"/>
  <c r="I39" i="1" s="1"/>
  <c r="J39" i="1" s="1"/>
  <c r="K39" i="1" s="1"/>
  <c r="D80" i="1"/>
  <c r="C6" i="2"/>
  <c r="R48" i="1"/>
  <c r="H56" i="1"/>
  <c r="I56" i="1" s="1"/>
  <c r="J56" i="1" s="1"/>
  <c r="J66" i="1"/>
  <c r="C7" i="2"/>
  <c r="H40" i="1"/>
  <c r="R73" i="1"/>
  <c r="J38" i="1"/>
  <c r="K38" i="1" s="1"/>
  <c r="L38" i="1" s="1"/>
  <c r="C86" i="1"/>
  <c r="B9" i="2"/>
  <c r="H25" i="1"/>
  <c r="G41" i="1"/>
  <c r="G73" i="1"/>
  <c r="I65" i="1"/>
  <c r="P51" i="1"/>
  <c r="Q51" i="1" s="1"/>
  <c r="R51" i="1" s="1"/>
  <c r="G57" i="1"/>
  <c r="H57" i="1" s="1"/>
  <c r="G27" i="1"/>
  <c r="K21" i="1"/>
  <c r="L21" i="1" s="1"/>
  <c r="G53" i="1"/>
  <c r="H53" i="1" s="1"/>
  <c r="I43" i="1"/>
  <c r="J43" i="1" s="1"/>
  <c r="J72" i="1"/>
  <c r="K72" i="1" s="1"/>
  <c r="H52" i="1"/>
  <c r="I52" i="1" s="1"/>
  <c r="H67" i="1"/>
  <c r="H73" i="1" s="1"/>
  <c r="G42" i="1"/>
  <c r="F48" i="1"/>
  <c r="F60" i="1" s="1"/>
  <c r="L33" i="1"/>
  <c r="H54" i="1"/>
  <c r="I54" i="1" s="1"/>
  <c r="J45" i="1"/>
  <c r="K45" i="1" s="1"/>
  <c r="J34" i="1"/>
  <c r="H46" i="1"/>
  <c r="L26" i="1"/>
  <c r="F73" i="1"/>
  <c r="I64" i="1"/>
  <c r="J64" i="1" s="1"/>
  <c r="H28" i="1"/>
  <c r="E77" i="1"/>
  <c r="D7" i="2"/>
  <c r="I47" i="1"/>
  <c r="I29" i="1"/>
  <c r="J29" i="1" s="1"/>
  <c r="L32" i="1"/>
  <c r="D6" i="2" l="1"/>
  <c r="K55" i="1"/>
  <c r="L55" i="1" s="1"/>
  <c r="G48" i="1"/>
  <c r="G60" i="1" s="1"/>
  <c r="G76" i="1" s="1"/>
  <c r="C9" i="2"/>
  <c r="D86" i="1"/>
  <c r="M26" i="1"/>
  <c r="N26" i="1" s="1"/>
  <c r="J52" i="1"/>
  <c r="K52" i="1" s="1"/>
  <c r="L52" i="1" s="1"/>
  <c r="J30" i="1"/>
  <c r="K30" i="1" s="1"/>
  <c r="K66" i="1"/>
  <c r="L66" i="1" s="1"/>
  <c r="J54" i="1"/>
  <c r="K54" i="1" s="1"/>
  <c r="H27" i="1"/>
  <c r="I27" i="1" s="1"/>
  <c r="I40" i="1"/>
  <c r="J40" i="1" s="1"/>
  <c r="E80" i="1"/>
  <c r="E86" i="1" s="1"/>
  <c r="K56" i="1"/>
  <c r="L56" i="1" s="1"/>
  <c r="K29" i="1"/>
  <c r="I46" i="1"/>
  <c r="F77" i="1"/>
  <c r="E7" i="2"/>
  <c r="J47" i="1"/>
  <c r="K47" i="1" s="1"/>
  <c r="M33" i="1"/>
  <c r="L72" i="1"/>
  <c r="M72" i="1" s="1"/>
  <c r="M44" i="1"/>
  <c r="J65" i="1"/>
  <c r="K65" i="1" s="1"/>
  <c r="I57" i="1"/>
  <c r="M21" i="1"/>
  <c r="M38" i="1"/>
  <c r="H42" i="1"/>
  <c r="I42" i="1" s="1"/>
  <c r="L39" i="1"/>
  <c r="I25" i="1"/>
  <c r="M32" i="1"/>
  <c r="N32" i="1" s="1"/>
  <c r="K64" i="1"/>
  <c r="L64" i="1" s="1"/>
  <c r="H77" i="1"/>
  <c r="G7" i="2"/>
  <c r="I53" i="1"/>
  <c r="J53" i="1" s="1"/>
  <c r="H41" i="1"/>
  <c r="K34" i="1"/>
  <c r="I67" i="1"/>
  <c r="J67" i="1" s="1"/>
  <c r="G77" i="1"/>
  <c r="F7" i="2"/>
  <c r="I28" i="1"/>
  <c r="J28" i="1" s="1"/>
  <c r="K22" i="1"/>
  <c r="L22" i="1" s="1"/>
  <c r="M22" i="1" s="1"/>
  <c r="K43" i="1"/>
  <c r="L43" i="1" s="1"/>
  <c r="M43" i="1" s="1"/>
  <c r="L45" i="1"/>
  <c r="F76" i="1"/>
  <c r="E6" i="2"/>
  <c r="M55" i="1" l="1"/>
  <c r="N55" i="1" s="1"/>
  <c r="O55" i="1" s="1"/>
  <c r="P55" i="1" s="1"/>
  <c r="Q55" i="1" s="1"/>
  <c r="R55" i="1" s="1"/>
  <c r="K40" i="1"/>
  <c r="L40" i="1" s="1"/>
  <c r="M40" i="1" s="1"/>
  <c r="D9" i="2"/>
  <c r="F75" i="1"/>
  <c r="F80" i="1" s="1"/>
  <c r="F6" i="2"/>
  <c r="O26" i="1"/>
  <c r="J27" i="1"/>
  <c r="K27" i="1" s="1"/>
  <c r="L27" i="1" s="1"/>
  <c r="M27" i="1" s="1"/>
  <c r="H48" i="1"/>
  <c r="H60" i="1" s="1"/>
  <c r="L29" i="1"/>
  <c r="M29" i="1" s="1"/>
  <c r="N29" i="1" s="1"/>
  <c r="O29" i="1" s="1"/>
  <c r="P29" i="1" s="1"/>
  <c r="M66" i="1"/>
  <c r="K53" i="1"/>
  <c r="L53" i="1" s="1"/>
  <c r="M64" i="1"/>
  <c r="N64" i="1" s="1"/>
  <c r="I73" i="1"/>
  <c r="L30" i="1"/>
  <c r="L47" i="1"/>
  <c r="J73" i="1"/>
  <c r="N22" i="1"/>
  <c r="O22" i="1" s="1"/>
  <c r="P22" i="1" s="1"/>
  <c r="L34" i="1"/>
  <c r="M39" i="1"/>
  <c r="N39" i="1" s="1"/>
  <c r="O39" i="1" s="1"/>
  <c r="P39" i="1" s="1"/>
  <c r="J46" i="1"/>
  <c r="K46" i="1" s="1"/>
  <c r="N72" i="1"/>
  <c r="J42" i="1"/>
  <c r="N38" i="1"/>
  <c r="L65" i="1"/>
  <c r="M65" i="1" s="1"/>
  <c r="N43" i="1"/>
  <c r="O43" i="1" s="1"/>
  <c r="P43" i="1" s="1"/>
  <c r="Q43" i="1" s="1"/>
  <c r="R43" i="1" s="1"/>
  <c r="K67" i="1"/>
  <c r="K73" i="1" s="1"/>
  <c r="L54" i="1"/>
  <c r="N21" i="1"/>
  <c r="O21" i="1" s="1"/>
  <c r="N44" i="1"/>
  <c r="O44" i="1" s="1"/>
  <c r="N33" i="1"/>
  <c r="O33" i="1" s="1"/>
  <c r="M52" i="1"/>
  <c r="N52" i="1" s="1"/>
  <c r="M45" i="1"/>
  <c r="O32" i="1"/>
  <c r="P32" i="1" s="1"/>
  <c r="Q32" i="1" s="1"/>
  <c r="R32" i="1" s="1"/>
  <c r="J25" i="1"/>
  <c r="K25" i="1" s="1"/>
  <c r="M56" i="1"/>
  <c r="K28" i="1"/>
  <c r="J57" i="1"/>
  <c r="K57" i="1" s="1"/>
  <c r="I41" i="1"/>
  <c r="I48" i="1" s="1"/>
  <c r="I60" i="1" s="1"/>
  <c r="N66" i="1" l="1"/>
  <c r="O66" i="1" s="1"/>
  <c r="O64" i="1"/>
  <c r="P64" i="1" s="1"/>
  <c r="Q64" i="1" s="1"/>
  <c r="R64" i="1" s="1"/>
  <c r="H7" i="2"/>
  <c r="I77" i="1"/>
  <c r="G75" i="1"/>
  <c r="G80" i="1" s="1"/>
  <c r="H75" i="1" s="1"/>
  <c r="F86" i="1"/>
  <c r="E9" i="2"/>
  <c r="G6" i="2"/>
  <c r="H76" i="1"/>
  <c r="P26" i="1"/>
  <c r="Q26" i="1" s="1"/>
  <c r="R26" i="1" s="1"/>
  <c r="M30" i="1"/>
  <c r="N30" i="1" s="1"/>
  <c r="O30" i="1" s="1"/>
  <c r="P30" i="1" s="1"/>
  <c r="P33" i="1"/>
  <c r="Q33" i="1" s="1"/>
  <c r="R33" i="1" s="1"/>
  <c r="N40" i="1"/>
  <c r="O40" i="1" s="1"/>
  <c r="L67" i="1"/>
  <c r="M67" i="1" s="1"/>
  <c r="M73" i="1" s="1"/>
  <c r="N27" i="1"/>
  <c r="N56" i="1"/>
  <c r="O56" i="1" s="1"/>
  <c r="M53" i="1"/>
  <c r="N53" i="1" s="1"/>
  <c r="Q22" i="1"/>
  <c r="R22" i="1" s="1"/>
  <c r="Q39" i="1"/>
  <c r="R39" i="1" s="1"/>
  <c r="K42" i="1"/>
  <c r="L42" i="1" s="1"/>
  <c r="J77" i="1"/>
  <c r="I7" i="2"/>
  <c r="I76" i="1"/>
  <c r="H6" i="2"/>
  <c r="O52" i="1"/>
  <c r="P52" i="1" s="1"/>
  <c r="Q52" i="1" s="1"/>
  <c r="R52" i="1" s="1"/>
  <c r="J41" i="1"/>
  <c r="K41" i="1" s="1"/>
  <c r="L57" i="1"/>
  <c r="M57" i="1" s="1"/>
  <c r="P44" i="1"/>
  <c r="Q44" i="1" s="1"/>
  <c r="R44" i="1" s="1"/>
  <c r="L25" i="1"/>
  <c r="Q29" i="1"/>
  <c r="R29" i="1" s="1"/>
  <c r="N45" i="1"/>
  <c r="O45" i="1" s="1"/>
  <c r="M34" i="1"/>
  <c r="N34" i="1" s="1"/>
  <c r="O38" i="1"/>
  <c r="P38" i="1" s="1"/>
  <c r="Q38" i="1" s="1"/>
  <c r="R38" i="1" s="1"/>
  <c r="L46" i="1"/>
  <c r="M46" i="1" s="1"/>
  <c r="N65" i="1"/>
  <c r="O65" i="1" s="1"/>
  <c r="O72" i="1"/>
  <c r="L28" i="1"/>
  <c r="M47" i="1"/>
  <c r="M54" i="1"/>
  <c r="K77" i="1"/>
  <c r="J7" i="2"/>
  <c r="P21" i="1"/>
  <c r="L73" i="1" l="1"/>
  <c r="P66" i="1"/>
  <c r="Q66" i="1" s="1"/>
  <c r="R66" i="1" s="1"/>
  <c r="F9" i="2"/>
  <c r="G86" i="1"/>
  <c r="H80" i="1"/>
  <c r="I75" i="1" s="1"/>
  <c r="I80" i="1" s="1"/>
  <c r="L41" i="1"/>
  <c r="L48" i="1" s="1"/>
  <c r="L60" i="1" s="1"/>
  <c r="L76" i="1" s="1"/>
  <c r="O27" i="1"/>
  <c r="P27" i="1" s="1"/>
  <c r="Q27" i="1" s="1"/>
  <c r="R27" i="1" s="1"/>
  <c r="Q30" i="1"/>
  <c r="R30" i="1" s="1"/>
  <c r="O53" i="1"/>
  <c r="P53" i="1" s="1"/>
  <c r="Q53" i="1" s="1"/>
  <c r="R53" i="1" s="1"/>
  <c r="P56" i="1"/>
  <c r="Q56" i="1" s="1"/>
  <c r="R56" i="1" s="1"/>
  <c r="N54" i="1"/>
  <c r="O54" i="1" s="1"/>
  <c r="O34" i="1"/>
  <c r="P34" i="1" s="1"/>
  <c r="Q34" i="1" s="1"/>
  <c r="R34" i="1" s="1"/>
  <c r="M42" i="1"/>
  <c r="N42" i="1" s="1"/>
  <c r="O42" i="1" s="1"/>
  <c r="P42" i="1" s="1"/>
  <c r="P40" i="1"/>
  <c r="Q40" i="1" s="1"/>
  <c r="R40" i="1" s="1"/>
  <c r="P65" i="1"/>
  <c r="Q65" i="1" s="1"/>
  <c r="R65" i="1" s="1"/>
  <c r="M28" i="1"/>
  <c r="N28" i="1" s="1"/>
  <c r="O28" i="1" s="1"/>
  <c r="P28" i="1" s="1"/>
  <c r="P72" i="1"/>
  <c r="Q72" i="1" s="1"/>
  <c r="R72" i="1" s="1"/>
  <c r="N67" i="1"/>
  <c r="N73" i="1" s="1"/>
  <c r="K48" i="1"/>
  <c r="K60" i="1" s="1"/>
  <c r="L77" i="1"/>
  <c r="K7" i="2"/>
  <c r="N57" i="1"/>
  <c r="O57" i="1" s="1"/>
  <c r="N46" i="1"/>
  <c r="O46" i="1" s="1"/>
  <c r="P46" i="1" s="1"/>
  <c r="Q46" i="1" s="1"/>
  <c r="R46" i="1" s="1"/>
  <c r="P45" i="1"/>
  <c r="Q45" i="1" s="1"/>
  <c r="R45" i="1" s="1"/>
  <c r="N47" i="1"/>
  <c r="O47" i="1" s="1"/>
  <c r="P47" i="1" s="1"/>
  <c r="Q47" i="1" s="1"/>
  <c r="R47" i="1" s="1"/>
  <c r="M77" i="1"/>
  <c r="L7" i="2"/>
  <c r="Q21" i="1"/>
  <c r="R21" i="1" s="1"/>
  <c r="J48" i="1"/>
  <c r="J60" i="1" s="1"/>
  <c r="M25" i="1"/>
  <c r="M41" i="1" l="1"/>
  <c r="N41" i="1" s="1"/>
  <c r="O41" i="1" s="1"/>
  <c r="Q42" i="1"/>
  <c r="R42" i="1" s="1"/>
  <c r="G9" i="2"/>
  <c r="H86" i="1"/>
  <c r="K6" i="2"/>
  <c r="P54" i="1"/>
  <c r="Q54" i="1" s="1"/>
  <c r="R54" i="1" s="1"/>
  <c r="P57" i="1"/>
  <c r="Q57" i="1" s="1"/>
  <c r="R57" i="1" s="1"/>
  <c r="Q28" i="1"/>
  <c r="R28" i="1" s="1"/>
  <c r="J75" i="1"/>
  <c r="H9" i="2"/>
  <c r="I86" i="1"/>
  <c r="J76" i="1"/>
  <c r="I6" i="2"/>
  <c r="J6" i="2"/>
  <c r="K76" i="1"/>
  <c r="N77" i="1"/>
  <c r="M7" i="2"/>
  <c r="N25" i="1"/>
  <c r="O67" i="1"/>
  <c r="M48" i="1" l="1"/>
  <c r="M60" i="1" s="1"/>
  <c r="M76" i="1" s="1"/>
  <c r="P41" i="1"/>
  <c r="Q41" i="1" s="1"/>
  <c r="R41" i="1" s="1"/>
  <c r="J80" i="1"/>
  <c r="J86" i="1" s="1"/>
  <c r="N48" i="1"/>
  <c r="N60" i="1" s="1"/>
  <c r="O25" i="1"/>
  <c r="P67" i="1"/>
  <c r="O73" i="1"/>
  <c r="L6" i="2" l="1"/>
  <c r="K75" i="1"/>
  <c r="K80" i="1" s="1"/>
  <c r="J9" i="2" s="1"/>
  <c r="I9" i="2"/>
  <c r="O77" i="1"/>
  <c r="N7" i="2"/>
  <c r="Q67" i="1"/>
  <c r="R67" i="1" s="1"/>
  <c r="P73" i="1"/>
  <c r="P25" i="1"/>
  <c r="O48" i="1"/>
  <c r="O60" i="1" s="1"/>
  <c r="N76" i="1"/>
  <c r="M6" i="2"/>
  <c r="L75" i="1" l="1"/>
  <c r="L80" i="1" s="1"/>
  <c r="K86" i="1"/>
  <c r="P48" i="1"/>
  <c r="P60" i="1" s="1"/>
  <c r="Q25" i="1"/>
  <c r="R25" i="1" s="1"/>
  <c r="P77" i="1"/>
  <c r="O7" i="2"/>
  <c r="O76" i="1"/>
  <c r="N6" i="2"/>
  <c r="K9" i="2" l="1"/>
  <c r="M75" i="1"/>
  <c r="M80" i="1" s="1"/>
  <c r="L86" i="1"/>
  <c r="P76" i="1"/>
  <c r="O6" i="2"/>
  <c r="Q60" i="1"/>
  <c r="R60" i="1" s="1"/>
  <c r="N75" i="1" l="1"/>
  <c r="N80" i="1" s="1"/>
  <c r="M9" i="2" s="1"/>
  <c r="L9" i="2"/>
  <c r="M86" i="1"/>
  <c r="N86" i="1" l="1"/>
  <c r="O75" i="1"/>
  <c r="O80" i="1" s="1"/>
  <c r="O86" i="1" l="1"/>
  <c r="N9" i="2"/>
  <c r="P75" i="1"/>
  <c r="P80" i="1" s="1"/>
  <c r="P86" i="1" l="1"/>
  <c r="O9" i="2"/>
  <c r="R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Wolff</author>
    <author>Julie Rupe</author>
  </authors>
  <commentList>
    <comment ref="C5" authorId="0" shapeId="0" xr:uid="{00000000-0006-0000-0000-000001000000}">
      <text>
        <r>
          <rPr>
            <sz val="9"/>
            <color indexed="81"/>
            <rFont val="Tahoma"/>
            <family val="2"/>
          </rPr>
          <t>Budgeted enrollment numbers.
monthly.
K-12 + Running Start, no TTK</t>
        </r>
      </text>
    </comment>
    <comment ref="D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Insert the Average FTE
here and update 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</rPr>
          <t>This column is your budgeted figures.  It would only change if you did a budget extension</t>
        </r>
      </text>
    </comment>
    <comment ref="D7" authorId="0" shapeId="0" xr:uid="{00000000-0006-0000-0000-000004000000}">
      <text>
        <r>
          <rPr>
            <sz val="9"/>
            <color indexed="81"/>
            <rFont val="Tahoma"/>
            <family val="2"/>
          </rPr>
          <t>Sept. through Dec. this will reflect budget.  Starting in January, use the apportionment figures.  Only revenue flowing through OSPI belongs in this area.</t>
        </r>
      </text>
    </comment>
    <comment ref="E49" authorId="1" shapeId="0" xr:uid="{04B65095-5F0D-43A6-BD36-FC1A6C819444}">
      <text>
        <r>
          <rPr>
            <b/>
            <sz val="9"/>
            <color indexed="81"/>
            <rFont val="Tahoma"/>
            <family val="2"/>
          </rPr>
          <t>Julie Rupe:</t>
        </r>
        <r>
          <rPr>
            <sz val="9"/>
            <color indexed="81"/>
            <rFont val="Tahoma"/>
            <family val="2"/>
          </rPr>
          <t xml:space="preserve">
the formulas for tax collection is based on the percentages noted in the gray boxes.  You can update the % to match the historical collection percentage each month for your district
</t>
        </r>
      </text>
    </comment>
    <comment ref="D6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These columns should be adjusted as better estimates are determined.
</t>
        </r>
      </text>
    </comment>
    <comment ref="D75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This number is your ending fund balance from the prior year's F196 report.
</t>
        </r>
      </text>
    </comment>
    <comment ref="B78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Transfers and Redirections are not included in the expenditures.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Wolff</author>
  </authors>
  <commentList>
    <comment ref="C3" authorId="0" shapeId="0" xr:uid="{00000000-0006-0000-0100-000004000000}">
      <text>
        <r>
          <rPr>
            <sz val="9"/>
            <color indexed="81"/>
            <rFont val="Tahoma"/>
            <family val="2"/>
          </rPr>
          <t>Sept. through Dec. this will reflect budget.  Starting in January, use the apportionment figures.  Only revenue flowing through OSPI belongs in this area.</t>
        </r>
      </text>
    </comment>
    <comment ref="C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Insert the Average FTE
here and update monthly.
</t>
        </r>
      </text>
    </comment>
  </commentList>
</comments>
</file>

<file path=xl/sharedStrings.xml><?xml version="1.0" encoding="utf-8"?>
<sst xmlns="http://schemas.openxmlformats.org/spreadsheetml/2006/main" count="228" uniqueCount="156">
  <si>
    <t>Total Revenues</t>
  </si>
  <si>
    <t>Food Serv</t>
  </si>
  <si>
    <t>January</t>
  </si>
  <si>
    <t>February</t>
  </si>
  <si>
    <t>March</t>
  </si>
  <si>
    <t>April</t>
  </si>
  <si>
    <t>Annual Amt.</t>
  </si>
  <si>
    <t>September</t>
  </si>
  <si>
    <t>October</t>
  </si>
  <si>
    <t>November</t>
  </si>
  <si>
    <t>December</t>
  </si>
  <si>
    <t>Breakfast</t>
  </si>
  <si>
    <t>May</t>
  </si>
  <si>
    <t>June</t>
  </si>
  <si>
    <t>July</t>
  </si>
  <si>
    <t>August</t>
  </si>
  <si>
    <t>Fed Title I-51</t>
  </si>
  <si>
    <t>Original Budget</t>
  </si>
  <si>
    <t>Expenditures</t>
  </si>
  <si>
    <t>4198-01</t>
  </si>
  <si>
    <t>4158-02</t>
  </si>
  <si>
    <t>APPORTIONMENT</t>
  </si>
  <si>
    <t>Regular Apportionment</t>
  </si>
  <si>
    <t>Apport Spec Ed</t>
  </si>
  <si>
    <t>Special Ed</t>
  </si>
  <si>
    <t>Learning Assist</t>
  </si>
  <si>
    <t>Teacher A P</t>
  </si>
  <si>
    <t>Prof Development</t>
  </si>
  <si>
    <t>4198-04</t>
  </si>
  <si>
    <t>Reduced Lunch</t>
  </si>
  <si>
    <t>Transitional 4165 (bilingual)</t>
  </si>
  <si>
    <t>Highly Capable</t>
  </si>
  <si>
    <t>Transportation</t>
  </si>
  <si>
    <t>Fed Title II -52</t>
  </si>
  <si>
    <t>State Institutions</t>
  </si>
  <si>
    <t>Current</t>
  </si>
  <si>
    <t>Grant</t>
  </si>
  <si>
    <t>4158-06</t>
  </si>
  <si>
    <t>Truancy</t>
  </si>
  <si>
    <t>4158-07</t>
  </si>
  <si>
    <t>6198-02</t>
  </si>
  <si>
    <t>School Food-Federal</t>
  </si>
  <si>
    <t>MS Tech Ed</t>
  </si>
  <si>
    <t>Current Estimate</t>
  </si>
  <si>
    <t>2000 Local Deposits</t>
  </si>
  <si>
    <t>Plus Revenue</t>
  </si>
  <si>
    <t>Minus Expenditures</t>
  </si>
  <si>
    <t>1500 Timber Excise</t>
  </si>
  <si>
    <t>Fund Balance Projection  (Apportionment Based)</t>
  </si>
  <si>
    <t>Check Total</t>
  </si>
  <si>
    <t>REVENUE</t>
  </si>
  <si>
    <t>ENROLLMENT</t>
  </si>
  <si>
    <t>Beginning Fund Balance</t>
  </si>
  <si>
    <t>Birth-2 Sped</t>
  </si>
  <si>
    <t>June 6%</t>
  </si>
  <si>
    <t>August 10%</t>
  </si>
  <si>
    <t>December 9.%</t>
  </si>
  <si>
    <t>February 9.%</t>
  </si>
  <si>
    <t>March 9.%</t>
  </si>
  <si>
    <t>April 9.%</t>
  </si>
  <si>
    <t>September 9.%</t>
  </si>
  <si>
    <t>October 8.%</t>
  </si>
  <si>
    <t>January 8.5%</t>
  </si>
  <si>
    <t>May 5.0%</t>
  </si>
  <si>
    <t>July 12.5%</t>
  </si>
  <si>
    <t>November 5.%</t>
  </si>
  <si>
    <t>Line 035 F-197</t>
  </si>
  <si>
    <t xml:space="preserve">2300 Interest </t>
  </si>
  <si>
    <t>Line 002 F-197</t>
  </si>
  <si>
    <t xml:space="preserve"> Line 001 F-197</t>
  </si>
  <si>
    <t xml:space="preserve">Other deposits: </t>
  </si>
  <si>
    <t>Federal, State, Non SPI</t>
  </si>
  <si>
    <t>Adjustments</t>
  </si>
  <si>
    <t xml:space="preserve">Payroll - Certificated </t>
  </si>
  <si>
    <t>Object 2</t>
  </si>
  <si>
    <t xml:space="preserve">Payroll - Classified </t>
  </si>
  <si>
    <t>Object 3</t>
  </si>
  <si>
    <t xml:space="preserve">Benefits </t>
  </si>
  <si>
    <t>Object 4</t>
  </si>
  <si>
    <t xml:space="preserve">Accounts Payable </t>
  </si>
  <si>
    <t>Objects 5 through 9</t>
  </si>
  <si>
    <t>Other cash decreases</t>
  </si>
  <si>
    <t xml:space="preserve"> per county</t>
  </si>
  <si>
    <t xml:space="preserve">Total Expenditures  </t>
  </si>
  <si>
    <t>Transfers or</t>
  </si>
  <si>
    <t xml:space="preserve"> Redirection of Apportionment</t>
  </si>
  <si>
    <t xml:space="preserve">Plus or Minus </t>
  </si>
  <si>
    <t>Balance to Budget Status Report</t>
  </si>
  <si>
    <t>Balance to Apportionment report</t>
  </si>
  <si>
    <t>Other Community Services</t>
  </si>
  <si>
    <t>3600/5500 Forest Money</t>
  </si>
  <si>
    <t>Line 030/034 F-197</t>
  </si>
  <si>
    <t>Other Large Expenditures</t>
  </si>
  <si>
    <t>Assigned Fund balance</t>
  </si>
  <si>
    <t>Committed Fund Balance</t>
  </si>
  <si>
    <t>Minimum Fund balance Policy</t>
  </si>
  <si>
    <t>Unassigned Fund Balance</t>
  </si>
  <si>
    <t>Fund Balance Classifications</t>
  </si>
  <si>
    <t>State Revenue</t>
  </si>
  <si>
    <t>Other Revenues</t>
  </si>
  <si>
    <t>Federal Revenue</t>
  </si>
  <si>
    <t>Commodities</t>
  </si>
  <si>
    <t>*</t>
  </si>
  <si>
    <t>Are there any differences between this spreadsheet and the Budget status report?</t>
  </si>
  <si>
    <t>Why?</t>
  </si>
  <si>
    <t>Expenditures are projected out based on the average actual expenditures so far this year</t>
  </si>
  <si>
    <t>Food Service Revenue in the current column is based on the monthly average revenue multiplied by 10 months</t>
  </si>
  <si>
    <t>LEA revenue was updated according to the increased assessed values</t>
  </si>
  <si>
    <t>National Boards revenue comes through in July apportionment</t>
  </si>
  <si>
    <t>Tax collection %</t>
  </si>
  <si>
    <t>The original budget included a transfer from General Fund to Capital Projects for ESSER related projects</t>
  </si>
  <si>
    <t>Difference</t>
  </si>
  <si>
    <t>6998 Commodities</t>
  </si>
  <si>
    <t>year end journal entry</t>
  </si>
  <si>
    <t>add to the specific month</t>
  </si>
  <si>
    <t>4158-03</t>
  </si>
  <si>
    <t>NBCT</t>
  </si>
  <si>
    <t>Revenue for Local Deposits-  all funds collected at the district or directly to the County- not included on apportionment</t>
  </si>
  <si>
    <t xml:space="preserve">Grants noted in red were budgeted for, but the district has not received funding yet.  </t>
  </si>
  <si>
    <t>RPT 1191FG</t>
  </si>
  <si>
    <t>This analysis does not include the transfers</t>
  </si>
  <si>
    <t xml:space="preserve">Projected Ending Fund Balance </t>
  </si>
  <si>
    <t>Annual Projection</t>
  </si>
  <si>
    <t>Sample Assumptions- Districts should update/add/delete assumptions as needed</t>
  </si>
  <si>
    <t xml:space="preserve">November </t>
  </si>
  <si>
    <t xml:space="preserve">December </t>
  </si>
  <si>
    <t xml:space="preserve">January </t>
  </si>
  <si>
    <t xml:space="preserve">March </t>
  </si>
  <si>
    <t xml:space="preserve">April </t>
  </si>
  <si>
    <t xml:space="preserve">July </t>
  </si>
  <si>
    <t xml:space="preserve">August </t>
  </si>
  <si>
    <t>Special Purpose</t>
  </si>
  <si>
    <t>All formulas are based on the current column- Current revenues are taken from the annual allotment +/- prior year adjustments from the apportionment report</t>
  </si>
  <si>
    <t>Additional large expenditures are noted separately on the spreadsheet</t>
  </si>
  <si>
    <t>Fed Special ED-24</t>
  </si>
  <si>
    <t>Estimate</t>
  </si>
  <si>
    <t>Break out prior year grant claims in separate line items to track more accuratly</t>
  </si>
  <si>
    <t>Revenue 1100- taxes is calculated using the collection percentatges in row 61- these are average percentages in our region, they are not district specific, you may need to update those amounts</t>
  </si>
  <si>
    <t>State Funded TK</t>
  </si>
  <si>
    <t>6198-04</t>
  </si>
  <si>
    <t>4158-04</t>
  </si>
  <si>
    <t>1191 FG</t>
  </si>
  <si>
    <t>4198-06</t>
  </si>
  <si>
    <t>4198-07</t>
  </si>
  <si>
    <t>CEP Breakfast</t>
  </si>
  <si>
    <t>CEP Lunch</t>
  </si>
  <si>
    <t>Apportionment Totals</t>
  </si>
  <si>
    <t>G5 grant</t>
  </si>
  <si>
    <t>SY 2025-26</t>
  </si>
  <si>
    <t>SY 2025-2026</t>
  </si>
  <si>
    <t>North River School District</t>
  </si>
  <si>
    <t>61-5201</t>
  </si>
  <si>
    <t>61-5200</t>
  </si>
  <si>
    <t>Fed Title IV</t>
  </si>
  <si>
    <t>Actual</t>
  </si>
  <si>
    <t>6352-04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</si>
</sst>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i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0"/>
      <color indexed="8"/>
      <name val="Tahoma"/>
      <family val="2"/>
    </font>
    <font>
      <sz val="9"/>
      <color indexed="81"/>
      <name val="Tahoma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12"/>
      <color rgb="FF0000CC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i/>
      <sz val="10"/>
      <color rgb="FF7030A0"/>
      <name val="Tahoma"/>
      <family val="2"/>
    </font>
    <font>
      <b/>
      <i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2" fillId="0" borderId="0" xfId="0" applyNumberFormat="1" applyFont="1"/>
    <xf numFmtId="43" fontId="2" fillId="0" borderId="0" xfId="1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Alignment="1">
      <alignment horizontal="left" indent="1"/>
    </xf>
    <xf numFmtId="4" fontId="9" fillId="0" borderId="3" xfId="1" applyNumberFormat="1" applyFont="1" applyBorder="1"/>
    <xf numFmtId="4" fontId="7" fillId="0" borderId="3" xfId="1" applyNumberFormat="1" applyFont="1" applyBorder="1"/>
    <xf numFmtId="4" fontId="3" fillId="0" borderId="3" xfId="1" applyNumberFormat="1" applyFont="1" applyBorder="1"/>
    <xf numFmtId="4" fontId="6" fillId="0" borderId="0" xfId="1" applyNumberFormat="1" applyFont="1"/>
    <xf numFmtId="4" fontId="6" fillId="0" borderId="0" xfId="0" applyNumberFormat="1" applyFont="1"/>
    <xf numFmtId="4" fontId="2" fillId="0" borderId="0" xfId="0" applyNumberFormat="1" applyFont="1"/>
    <xf numFmtId="0" fontId="13" fillId="0" borderId="0" xfId="0" applyFont="1"/>
    <xf numFmtId="164" fontId="13" fillId="0" borderId="0" xfId="1" applyNumberFormat="1" applyFont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4" fontId="18" fillId="0" borderId="0" xfId="0" applyNumberFormat="1" applyFont="1"/>
    <xf numFmtId="164" fontId="4" fillId="0" borderId="5" xfId="1" applyNumberFormat="1" applyFont="1" applyBorder="1" applyAlignment="1">
      <alignment horizontal="center"/>
    </xf>
    <xf numFmtId="43" fontId="7" fillId="2" borderId="3" xfId="1" applyFont="1" applyFill="1" applyBorder="1"/>
    <xf numFmtId="164" fontId="6" fillId="2" borderId="0" xfId="1" applyNumberFormat="1" applyFont="1" applyFill="1"/>
    <xf numFmtId="164" fontId="7" fillId="2" borderId="10" xfId="1" applyNumberFormat="1" applyFont="1" applyFill="1" applyBorder="1" applyAlignment="1">
      <alignment horizontal="center"/>
    </xf>
    <xf numFmtId="164" fontId="6" fillId="2" borderId="8" xfId="1" applyNumberFormat="1" applyFont="1" applyFill="1" applyBorder="1"/>
    <xf numFmtId="164" fontId="7" fillId="2" borderId="3" xfId="1" applyNumberFormat="1" applyFont="1" applyFill="1" applyBorder="1"/>
    <xf numFmtId="164" fontId="6" fillId="2" borderId="9" xfId="1" applyNumberFormat="1" applyFont="1" applyFill="1" applyBorder="1"/>
    <xf numFmtId="0" fontId="13" fillId="0" borderId="0" xfId="0" applyFont="1" applyAlignment="1">
      <alignment wrapText="1"/>
    </xf>
    <xf numFmtId="20" fontId="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164" fontId="7" fillId="2" borderId="0" xfId="1" applyNumberFormat="1" applyFont="1" applyFill="1" applyBorder="1"/>
    <xf numFmtId="0" fontId="6" fillId="0" borderId="13" xfId="0" applyFont="1" applyBorder="1" applyAlignment="1">
      <alignment wrapText="1"/>
    </xf>
    <xf numFmtId="164" fontId="2" fillId="0" borderId="0" xfId="1" applyNumberFormat="1" applyFont="1" applyAlignment="1"/>
    <xf numFmtId="0" fontId="4" fillId="0" borderId="0" xfId="0" applyFont="1"/>
    <xf numFmtId="0" fontId="12" fillId="0" borderId="0" xfId="0" applyFont="1"/>
    <xf numFmtId="164" fontId="7" fillId="0" borderId="0" xfId="1" applyNumberFormat="1" applyFont="1" applyBorder="1"/>
    <xf numFmtId="164" fontId="7" fillId="0" borderId="0" xfId="1" applyNumberFormat="1" applyFont="1" applyFill="1" applyBorder="1"/>
    <xf numFmtId="164" fontId="3" fillId="0" borderId="0" xfId="1" applyNumberFormat="1" applyFont="1" applyBorder="1"/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64" fontId="6" fillId="0" borderId="3" xfId="1" applyNumberFormat="1" applyFont="1" applyBorder="1"/>
    <xf numFmtId="0" fontId="6" fillId="0" borderId="3" xfId="0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20" fillId="0" borderId="3" xfId="0" applyFont="1" applyBorder="1" applyAlignment="1">
      <alignment wrapText="1"/>
    </xf>
    <xf numFmtId="164" fontId="20" fillId="0" borderId="3" xfId="1" applyNumberFormat="1" applyFont="1" applyBorder="1"/>
    <xf numFmtId="164" fontId="21" fillId="0" borderId="3" xfId="1" applyNumberFormat="1" applyFont="1" applyBorder="1"/>
    <xf numFmtId="0" fontId="21" fillId="0" borderId="3" xfId="0" applyFont="1" applyBorder="1"/>
    <xf numFmtId="43" fontId="21" fillId="0" borderId="3" xfId="1" applyFont="1" applyBorder="1"/>
    <xf numFmtId="43" fontId="21" fillId="0" borderId="3" xfId="0" applyNumberFormat="1" applyFont="1" applyBorder="1"/>
    <xf numFmtId="43" fontId="6" fillId="0" borderId="3" xfId="0" applyNumberFormat="1" applyFont="1" applyBorder="1"/>
    <xf numFmtId="0" fontId="1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0" xfId="0" applyFont="1"/>
    <xf numFmtId="164" fontId="3" fillId="0" borderId="0" xfId="1" applyNumberFormat="1" applyFont="1" applyFill="1" applyBorder="1"/>
    <xf numFmtId="164" fontId="4" fillId="0" borderId="3" xfId="0" applyNumberFormat="1" applyFont="1" applyBorder="1"/>
    <xf numFmtId="0" fontId="4" fillId="5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164" fontId="6" fillId="5" borderId="0" xfId="1" applyNumberFormat="1" applyFont="1" applyFill="1" applyBorder="1"/>
    <xf numFmtId="164" fontId="1" fillId="5" borderId="0" xfId="1" applyNumberFormat="1" applyFont="1" applyFill="1" applyBorder="1"/>
    <xf numFmtId="0" fontId="6" fillId="5" borderId="0" xfId="1" applyNumberFormat="1" applyFont="1" applyFill="1" applyBorder="1"/>
    <xf numFmtId="0" fontId="6" fillId="5" borderId="0" xfId="0" applyFont="1" applyFill="1"/>
    <xf numFmtId="0" fontId="2" fillId="5" borderId="0" xfId="0" applyFont="1" applyFill="1"/>
    <xf numFmtId="0" fontId="0" fillId="5" borderId="0" xfId="0" applyFill="1"/>
    <xf numFmtId="17" fontId="7" fillId="0" borderId="10" xfId="1" applyNumberFormat="1" applyFont="1" applyFill="1" applyBorder="1" applyAlignment="1">
      <alignment horizontal="center"/>
    </xf>
    <xf numFmtId="43" fontId="1" fillId="2" borderId="3" xfId="1" applyFont="1" applyFill="1" applyBorder="1"/>
    <xf numFmtId="43" fontId="7" fillId="2" borderId="3" xfId="1" applyFont="1" applyFill="1" applyBorder="1" applyAlignment="1">
      <alignment horizontal="right"/>
    </xf>
    <xf numFmtId="4" fontId="18" fillId="0" borderId="20" xfId="0" applyNumberFormat="1" applyFont="1" applyBorder="1"/>
    <xf numFmtId="0" fontId="0" fillId="0" borderId="20" xfId="0" applyBorder="1"/>
    <xf numFmtId="0" fontId="2" fillId="0" borderId="20" xfId="0" applyFont="1" applyBorder="1"/>
    <xf numFmtId="0" fontId="6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3" fontId="7" fillId="2" borderId="10" xfId="1" applyFont="1" applyFill="1" applyBorder="1"/>
    <xf numFmtId="4" fontId="6" fillId="0" borderId="5" xfId="0" applyNumberFormat="1" applyFont="1" applyBorder="1"/>
    <xf numFmtId="4" fontId="2" fillId="0" borderId="5" xfId="0" applyNumberFormat="1" applyFont="1" applyBorder="1"/>
    <xf numFmtId="39" fontId="15" fillId="0" borderId="5" xfId="0" applyNumberFormat="1" applyFont="1" applyBorder="1"/>
    <xf numFmtId="39" fontId="15" fillId="0" borderId="1" xfId="0" applyNumberFormat="1" applyFont="1" applyBorder="1"/>
    <xf numFmtId="164" fontId="6" fillId="2" borderId="3" xfId="0" applyNumberFormat="1" applyFont="1" applyFill="1" applyBorder="1"/>
    <xf numFmtId="164" fontId="6" fillId="2" borderId="3" xfId="1" applyNumberFormat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4" fontId="1" fillId="6" borderId="0" xfId="1" applyNumberFormat="1" applyFont="1" applyFill="1"/>
    <xf numFmtId="10" fontId="6" fillId="6" borderId="5" xfId="2" applyNumberFormat="1" applyFont="1" applyFill="1" applyBorder="1"/>
    <xf numFmtId="10" fontId="2" fillId="6" borderId="5" xfId="2" applyNumberFormat="1" applyFont="1" applyFill="1" applyBorder="1"/>
    <xf numFmtId="10" fontId="2" fillId="6" borderId="1" xfId="2" applyNumberFormat="1" applyFont="1" applyFill="1" applyBorder="1"/>
    <xf numFmtId="14" fontId="4" fillId="0" borderId="6" xfId="0" applyNumberFormat="1" applyFont="1" applyBorder="1" applyAlignment="1">
      <alignment wrapText="1"/>
    </xf>
    <xf numFmtId="43" fontId="0" fillId="0" borderId="0" xfId="0" applyNumberFormat="1"/>
    <xf numFmtId="4" fontId="6" fillId="4" borderId="3" xfId="0" applyNumberFormat="1" applyFont="1" applyFill="1" applyBorder="1"/>
    <xf numFmtId="4" fontId="2" fillId="4" borderId="3" xfId="0" applyNumberFormat="1" applyFont="1" applyFill="1" applyBorder="1"/>
    <xf numFmtId="39" fontId="15" fillId="4" borderId="3" xfId="0" applyNumberFormat="1" applyFont="1" applyFill="1" applyBorder="1"/>
    <xf numFmtId="4" fontId="1" fillId="4" borderId="3" xfId="0" applyNumberFormat="1" applyFont="1" applyFill="1" applyBorder="1"/>
    <xf numFmtId="39" fontId="15" fillId="4" borderId="3" xfId="0" applyNumberFormat="1" applyFont="1" applyFill="1" applyBorder="1" applyAlignment="1">
      <alignment horizontal="right"/>
    </xf>
    <xf numFmtId="4" fontId="6" fillId="4" borderId="3" xfId="1" applyNumberFormat="1" applyFont="1" applyFill="1" applyBorder="1"/>
    <xf numFmtId="4" fontId="8" fillId="4" borderId="3" xfId="0" applyNumberFormat="1" applyFont="1" applyFill="1" applyBorder="1"/>
    <xf numFmtId="0" fontId="26" fillId="0" borderId="0" xfId="0" applyFont="1"/>
    <xf numFmtId="164" fontId="7" fillId="0" borderId="29" xfId="1" applyNumberFormat="1" applyFont="1" applyBorder="1" applyAlignment="1">
      <alignment horizontal="center"/>
    </xf>
    <xf numFmtId="17" fontId="7" fillId="0" borderId="23" xfId="1" applyNumberFormat="1" applyFont="1" applyFill="1" applyBorder="1" applyAlignment="1">
      <alignment horizontal="center"/>
    </xf>
    <xf numFmtId="164" fontId="7" fillId="2" borderId="26" xfId="1" applyNumberFormat="1" applyFont="1" applyFill="1" applyBorder="1" applyAlignment="1">
      <alignment horizontal="center"/>
    </xf>
    <xf numFmtId="164" fontId="7" fillId="2" borderId="24" xfId="1" applyNumberFormat="1" applyFont="1" applyFill="1" applyBorder="1" applyAlignment="1">
      <alignment horizontal="center"/>
    </xf>
    <xf numFmtId="164" fontId="6" fillId="3" borderId="13" xfId="1" applyNumberFormat="1" applyFont="1" applyFill="1" applyBorder="1"/>
    <xf numFmtId="164" fontId="6" fillId="3" borderId="14" xfId="1" applyNumberFormat="1" applyFont="1" applyFill="1" applyBorder="1"/>
    <xf numFmtId="164" fontId="7" fillId="2" borderId="26" xfId="1" applyNumberFormat="1" applyFont="1" applyFill="1" applyBorder="1"/>
    <xf numFmtId="164" fontId="7" fillId="2" borderId="24" xfId="1" applyNumberFormat="1" applyFont="1" applyFill="1" applyBorder="1"/>
    <xf numFmtId="164" fontId="7" fillId="2" borderId="30" xfId="1" applyNumberFormat="1" applyFont="1" applyFill="1" applyBorder="1"/>
    <xf numFmtId="164" fontId="7" fillId="2" borderId="16" xfId="1" applyNumberFormat="1" applyFont="1" applyFill="1" applyBorder="1"/>
    <xf numFmtId="0" fontId="19" fillId="0" borderId="0" xfId="0" applyFont="1"/>
    <xf numFmtId="43" fontId="6" fillId="0" borderId="3" xfId="1" applyFont="1" applyBorder="1"/>
    <xf numFmtId="43" fontId="2" fillId="0" borderId="3" xfId="1" applyFont="1" applyBorder="1"/>
    <xf numFmtId="164" fontId="2" fillId="0" borderId="3" xfId="1" applyNumberFormat="1" applyFont="1" applyBorder="1"/>
    <xf numFmtId="4" fontId="6" fillId="0" borderId="3" xfId="1" applyNumberFormat="1" applyFont="1" applyBorder="1"/>
    <xf numFmtId="4" fontId="2" fillId="0" borderId="3" xfId="1" applyNumberFormat="1" applyFont="1" applyBorder="1"/>
    <xf numFmtId="43" fontId="11" fillId="0" borderId="3" xfId="1" applyFont="1" applyBorder="1"/>
    <xf numFmtId="43" fontId="5" fillId="0" borderId="3" xfId="1" applyFont="1" applyBorder="1"/>
    <xf numFmtId="164" fontId="1" fillId="3" borderId="0" xfId="1" applyNumberFormat="1" applyFont="1" applyFill="1" applyBorder="1"/>
    <xf numFmtId="164" fontId="1" fillId="2" borderId="1" xfId="1" applyNumberFormat="1" applyFont="1" applyFill="1" applyBorder="1"/>
    <xf numFmtId="164" fontId="1" fillId="2" borderId="3" xfId="1" applyNumberFormat="1" applyFont="1" applyFill="1" applyBorder="1"/>
    <xf numFmtId="164" fontId="1" fillId="2" borderId="19" xfId="1" applyNumberFormat="1" applyFont="1" applyFill="1" applyBorder="1"/>
    <xf numFmtId="164" fontId="7" fillId="2" borderId="31" xfId="1" applyNumberFormat="1" applyFont="1" applyFill="1" applyBorder="1"/>
    <xf numFmtId="164" fontId="7" fillId="2" borderId="14" xfId="1" applyNumberFormat="1" applyFont="1" applyFill="1" applyBorder="1"/>
    <xf numFmtId="164" fontId="1" fillId="2" borderId="32" xfId="1" applyNumberFormat="1" applyFont="1" applyFill="1" applyBorder="1"/>
    <xf numFmtId="0" fontId="27" fillId="0" borderId="0" xfId="0" applyFont="1"/>
    <xf numFmtId="0" fontId="29" fillId="0" borderId="0" xfId="0" applyFont="1"/>
    <xf numFmtId="43" fontId="29" fillId="0" borderId="0" xfId="0" applyNumberFormat="1" applyFont="1"/>
    <xf numFmtId="0" fontId="28" fillId="0" borderId="0" xfId="0" applyFont="1" applyAlignment="1">
      <alignment horizontal="center" wrapText="1"/>
    </xf>
    <xf numFmtId="164" fontId="29" fillId="2" borderId="0" xfId="1" applyNumberFormat="1" applyFont="1" applyFill="1" applyBorder="1"/>
    <xf numFmtId="164" fontId="29" fillId="0" borderId="0" xfId="1" applyNumberFormat="1" applyFont="1" applyBorder="1"/>
    <xf numFmtId="4" fontId="7" fillId="0" borderId="10" xfId="1" applyNumberFormat="1" applyFont="1" applyFill="1" applyBorder="1"/>
    <xf numFmtId="4" fontId="7" fillId="0" borderId="10" xfId="1" applyNumberFormat="1" applyFont="1" applyBorder="1"/>
    <xf numFmtId="164" fontId="7" fillId="0" borderId="32" xfId="1" applyNumberFormat="1" applyFont="1" applyBorder="1"/>
    <xf numFmtId="164" fontId="7" fillId="0" borderId="32" xfId="1" applyNumberFormat="1" applyFont="1" applyFill="1" applyBorder="1"/>
    <xf numFmtId="164" fontId="3" fillId="0" borderId="32" xfId="1" applyNumberFormat="1" applyFont="1" applyBorder="1"/>
    <xf numFmtId="164" fontId="3" fillId="0" borderId="14" xfId="1" applyNumberFormat="1" applyFont="1" applyBorder="1"/>
    <xf numFmtId="4" fontId="7" fillId="0" borderId="33" xfId="1" applyNumberFormat="1" applyFont="1" applyFill="1" applyBorder="1"/>
    <xf numFmtId="164" fontId="7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4" xfId="1" applyNumberFormat="1" applyFont="1" applyBorder="1" applyAlignment="1">
      <alignment horizontal="center"/>
    </xf>
    <xf numFmtId="43" fontId="7" fillId="0" borderId="1" xfId="1" applyFont="1" applyBorder="1"/>
    <xf numFmtId="164" fontId="6" fillId="0" borderId="1" xfId="1" applyNumberFormat="1" applyFont="1" applyBorder="1"/>
    <xf numFmtId="4" fontId="6" fillId="0" borderId="1" xfId="1" applyNumberFormat="1" applyFont="1" applyBorder="1"/>
    <xf numFmtId="164" fontId="6" fillId="0" borderId="3" xfId="1" applyNumberFormat="1" applyFont="1" applyFill="1" applyBorder="1"/>
    <xf numFmtId="0" fontId="6" fillId="0" borderId="3" xfId="0" applyFont="1" applyBorder="1" applyAlignment="1">
      <alignment horizontal="left" wrapText="1"/>
    </xf>
    <xf numFmtId="0" fontId="4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64" fontId="7" fillId="0" borderId="18" xfId="1" applyNumberFormat="1" applyFont="1" applyFill="1" applyBorder="1"/>
    <xf numFmtId="164" fontId="7" fillId="0" borderId="23" xfId="1" applyNumberFormat="1" applyFont="1" applyFill="1" applyBorder="1"/>
    <xf numFmtId="0" fontId="6" fillId="0" borderId="26" xfId="0" applyFont="1" applyBorder="1" applyAlignment="1">
      <alignment wrapText="1"/>
    </xf>
    <xf numFmtId="164" fontId="6" fillId="0" borderId="24" xfId="1" applyNumberFormat="1" applyFont="1" applyFill="1" applyBorder="1"/>
    <xf numFmtId="0" fontId="8" fillId="0" borderId="26" xfId="0" applyFont="1" applyBorder="1" applyAlignment="1">
      <alignment wrapText="1"/>
    </xf>
    <xf numFmtId="2" fontId="6" fillId="0" borderId="24" xfId="0" applyNumberFormat="1" applyFont="1" applyBorder="1"/>
    <xf numFmtId="0" fontId="1" fillId="0" borderId="26" xfId="0" applyFont="1" applyBorder="1" applyAlignment="1">
      <alignment wrapText="1"/>
    </xf>
    <xf numFmtId="14" fontId="4" fillId="0" borderId="11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7" fillId="2" borderId="35" xfId="1" applyNumberFormat="1" applyFont="1" applyFill="1" applyBorder="1" applyAlignment="1">
      <alignment horizontal="center"/>
    </xf>
    <xf numFmtId="164" fontId="7" fillId="2" borderId="36" xfId="1" applyNumberFormat="1" applyFont="1" applyFill="1" applyBorder="1" applyAlignment="1">
      <alignment horizontal="center"/>
    </xf>
    <xf numFmtId="164" fontId="6" fillId="2" borderId="37" xfId="1" applyNumberFormat="1" applyFont="1" applyFill="1" applyBorder="1"/>
    <xf numFmtId="0" fontId="1" fillId="0" borderId="38" xfId="0" applyFont="1" applyBorder="1" applyAlignment="1">
      <alignment wrapText="1"/>
    </xf>
    <xf numFmtId="164" fontId="7" fillId="4" borderId="24" xfId="0" applyNumberFormat="1" applyFont="1" applyFill="1" applyBorder="1"/>
    <xf numFmtId="164" fontId="7" fillId="4" borderId="24" xfId="1" applyNumberFormat="1" applyFont="1" applyFill="1" applyBorder="1"/>
    <xf numFmtId="0" fontId="1" fillId="0" borderId="39" xfId="0" applyFont="1" applyBorder="1" applyAlignment="1">
      <alignment wrapText="1"/>
    </xf>
    <xf numFmtId="164" fontId="7" fillId="4" borderId="40" xfId="1" applyNumberFormat="1" applyFont="1" applyFill="1" applyBorder="1"/>
    <xf numFmtId="14" fontId="4" fillId="0" borderId="10" xfId="0" applyNumberFormat="1" applyFont="1" applyBorder="1" applyAlignment="1">
      <alignment wrapText="1"/>
    </xf>
    <xf numFmtId="20" fontId="4" fillId="0" borderId="10" xfId="0" applyNumberFormat="1" applyFont="1" applyBorder="1" applyAlignment="1">
      <alignment wrapText="1"/>
    </xf>
    <xf numFmtId="20" fontId="4" fillId="0" borderId="12" xfId="0" applyNumberFormat="1" applyFont="1" applyBorder="1" applyAlignment="1">
      <alignment wrapText="1"/>
    </xf>
    <xf numFmtId="164" fontId="7" fillId="0" borderId="35" xfId="1" applyNumberFormat="1" applyFont="1" applyFill="1" applyBorder="1" applyAlignment="1">
      <alignment horizontal="center"/>
    </xf>
    <xf numFmtId="17" fontId="7" fillId="0" borderId="36" xfId="1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left" wrapText="1"/>
    </xf>
    <xf numFmtId="43" fontId="7" fillId="4" borderId="24" xfId="1" applyFont="1" applyFill="1" applyBorder="1"/>
    <xf numFmtId="0" fontId="1" fillId="0" borderId="4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8" fillId="0" borderId="28" xfId="0" applyFont="1" applyBorder="1" applyAlignment="1">
      <alignment wrapText="1"/>
    </xf>
    <xf numFmtId="43" fontId="7" fillId="2" borderId="28" xfId="1" applyFont="1" applyFill="1" applyBorder="1"/>
    <xf numFmtId="43" fontId="7" fillId="4" borderId="25" xfId="1" applyFont="1" applyFill="1" applyBorder="1"/>
    <xf numFmtId="0" fontId="8" fillId="0" borderId="33" xfId="0" applyFont="1" applyBorder="1" applyAlignment="1">
      <alignment wrapText="1"/>
    </xf>
    <xf numFmtId="43" fontId="7" fillId="0" borderId="10" xfId="1" applyFont="1" applyFill="1" applyBorder="1"/>
    <xf numFmtId="0" fontId="1" fillId="0" borderId="17" xfId="0" applyFont="1" applyBorder="1" applyAlignment="1">
      <alignment horizontal="left" wrapText="1"/>
    </xf>
    <xf numFmtId="0" fontId="8" fillId="0" borderId="18" xfId="0" applyFont="1" applyBorder="1" applyAlignment="1">
      <alignment wrapText="1"/>
    </xf>
    <xf numFmtId="43" fontId="7" fillId="2" borderId="18" xfId="1" applyFont="1" applyFill="1" applyBorder="1"/>
    <xf numFmtId="43" fontId="7" fillId="4" borderId="23" xfId="1" applyFont="1" applyFill="1" applyBorder="1"/>
    <xf numFmtId="0" fontId="4" fillId="5" borderId="7" xfId="0" applyFont="1" applyFill="1" applyBorder="1" applyAlignment="1">
      <alignment wrapText="1"/>
    </xf>
    <xf numFmtId="164" fontId="7" fillId="2" borderId="8" xfId="1" applyNumberFormat="1" applyFont="1" applyFill="1" applyBorder="1"/>
    <xf numFmtId="14" fontId="4" fillId="0" borderId="29" xfId="0" applyNumberFormat="1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4" fillId="5" borderId="15" xfId="0" applyFont="1" applyFill="1" applyBorder="1" applyAlignment="1">
      <alignment wrapText="1"/>
    </xf>
    <xf numFmtId="0" fontId="4" fillId="5" borderId="43" xfId="0" applyFont="1" applyFill="1" applyBorder="1" applyAlignment="1">
      <alignment wrapText="1"/>
    </xf>
    <xf numFmtId="164" fontId="7" fillId="2" borderId="44" xfId="1" applyNumberFormat="1" applyFont="1" applyFill="1" applyBorder="1"/>
    <xf numFmtId="164" fontId="7" fillId="0" borderId="45" xfId="1" applyNumberFormat="1" applyFont="1" applyBorder="1"/>
    <xf numFmtId="0" fontId="1" fillId="0" borderId="15" xfId="0" applyFont="1" applyBorder="1" applyAlignment="1">
      <alignment wrapText="1"/>
    </xf>
    <xf numFmtId="0" fontId="6" fillId="0" borderId="28" xfId="0" applyFont="1" applyBorder="1" applyAlignment="1">
      <alignment wrapText="1"/>
    </xf>
    <xf numFmtId="164" fontId="6" fillId="2" borderId="44" xfId="1" applyNumberFormat="1" applyFont="1" applyFill="1" applyBorder="1"/>
    <xf numFmtId="164" fontId="7" fillId="4" borderId="45" xfId="1" applyNumberFormat="1" applyFont="1" applyFill="1" applyBorder="1"/>
    <xf numFmtId="0" fontId="4" fillId="5" borderId="21" xfId="0" applyFont="1" applyFill="1" applyBorder="1" applyAlignment="1">
      <alignment wrapText="1"/>
    </xf>
    <xf numFmtId="0" fontId="4" fillId="5" borderId="46" xfId="0" applyFont="1" applyFill="1" applyBorder="1" applyAlignment="1">
      <alignment wrapText="1"/>
    </xf>
    <xf numFmtId="164" fontId="7" fillId="2" borderId="47" xfId="1" applyNumberFormat="1" applyFont="1" applyFill="1" applyBorder="1"/>
    <xf numFmtId="164" fontId="7" fillId="2" borderId="22" xfId="1" applyNumberFormat="1" applyFont="1" applyFill="1" applyBorder="1"/>
    <xf numFmtId="43" fontId="7" fillId="0" borderId="47" xfId="1" applyFont="1" applyFill="1" applyBorder="1"/>
    <xf numFmtId="43" fontId="7" fillId="2" borderId="48" xfId="1" applyFont="1" applyFill="1" applyBorder="1"/>
    <xf numFmtId="0" fontId="4" fillId="5" borderId="13" xfId="0" applyFont="1" applyFill="1" applyBorder="1" applyAlignment="1">
      <alignment wrapText="1"/>
    </xf>
    <xf numFmtId="164" fontId="7" fillId="0" borderId="37" xfId="1" applyNumberFormat="1" applyFont="1" applyBorder="1"/>
    <xf numFmtId="0" fontId="4" fillId="4" borderId="5" xfId="0" applyFont="1" applyFill="1" applyBorder="1" applyAlignment="1">
      <alignment horizontal="center"/>
    </xf>
    <xf numFmtId="0" fontId="8" fillId="0" borderId="26" xfId="0" applyFont="1" applyBorder="1" applyAlignment="1">
      <alignment horizontal="left" wrapText="1"/>
    </xf>
    <xf numFmtId="164" fontId="30" fillId="0" borderId="0" xfId="0" applyNumberFormat="1" applyFont="1"/>
    <xf numFmtId="0" fontId="4" fillId="7" borderId="5" xfId="0" applyFont="1" applyFill="1" applyBorder="1" applyAlignment="1">
      <alignment horizontal="center"/>
    </xf>
    <xf numFmtId="4" fontId="1" fillId="7" borderId="3" xfId="0" applyNumberFormat="1" applyFont="1" applyFill="1" applyBorder="1"/>
    <xf numFmtId="4" fontId="9" fillId="7" borderId="1" xfId="1" applyNumberFormat="1" applyFont="1" applyFill="1" applyBorder="1"/>
    <xf numFmtId="4" fontId="8" fillId="7" borderId="1" xfId="0" applyNumberFormat="1" applyFont="1" applyFill="1" applyBorder="1"/>
    <xf numFmtId="4" fontId="6" fillId="7" borderId="1" xfId="1" applyNumberFormat="1" applyFont="1" applyFill="1" applyBorder="1"/>
    <xf numFmtId="4" fontId="7" fillId="7" borderId="33" xfId="1" applyNumberFormat="1" applyFont="1" applyFill="1" applyBorder="1"/>
    <xf numFmtId="4" fontId="2" fillId="7" borderId="1" xfId="0" applyNumberFormat="1" applyFont="1" applyFill="1" applyBorder="1"/>
    <xf numFmtId="164" fontId="4" fillId="7" borderId="3" xfId="0" applyNumberFormat="1" applyFont="1" applyFill="1" applyBorder="1"/>
    <xf numFmtId="164" fontId="7" fillId="7" borderId="2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2" xfId="3" xr:uid="{15A1AF81-ACED-49D9-9BDB-85CAFF2A4CD4}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Budget</a:t>
            </a:r>
            <a:r>
              <a:rPr lang="en-US" baseline="0"/>
              <a:t> to Actual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Summary!$B$3:$B$4</c:f>
              <c:strCache>
                <c:ptCount val="2"/>
                <c:pt idx="0">
                  <c:v> Original Budget </c:v>
                </c:pt>
                <c:pt idx="1">
                  <c:v> Annual Amt.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Summary!$A$5:$A$9</c15:sqref>
                  </c15:fullRef>
                </c:ext>
              </c:extLst>
              <c:f>(Summary!$A$6:$A$7,Summary!$A$9)</c:f>
              <c:strCache>
                <c:ptCount val="3"/>
                <c:pt idx="0">
                  <c:v>Total Revenues</c:v>
                </c:pt>
                <c:pt idx="1">
                  <c:v>Total Expenditures  </c:v>
                </c:pt>
                <c:pt idx="2">
                  <c:v>Projected Ending Fund Balance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Summary!$B$5:$B$9</c15:sqref>
                  </c15:fullRef>
                </c:ext>
              </c:extLst>
              <c:f>(Summary!$B$6:$B$7,Summary!$B$9)</c:f>
              <c:numCache>
                <c:formatCode>_(* #,##0_);_(* \(#,##0\);_(* "-"??_);_(@_)</c:formatCode>
                <c:ptCount val="3"/>
                <c:pt idx="0">
                  <c:v>2507490</c:v>
                </c:pt>
                <c:pt idx="1">
                  <c:v>2853886</c:v>
                </c:pt>
                <c:pt idx="2">
                  <c:v>211879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6-4B2D-B3C4-D045C0CBAAAD}"/>
            </c:ext>
          </c:extLst>
        </c:ser>
        <c:ser>
          <c:idx val="1"/>
          <c:order val="1"/>
          <c:tx>
            <c:strRef>
              <c:f>Summary!$C$3:$C$4</c:f>
              <c:strCache>
                <c:ptCount val="2"/>
                <c:pt idx="0">
                  <c:v>Current</c:v>
                </c:pt>
                <c:pt idx="1">
                  <c:v> Annual Projection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Summary!$A$5:$A$9</c15:sqref>
                  </c15:fullRef>
                </c:ext>
              </c:extLst>
              <c:f>(Summary!$A$6:$A$7,Summary!$A$9)</c:f>
              <c:strCache>
                <c:ptCount val="3"/>
                <c:pt idx="0">
                  <c:v>Total Revenues</c:v>
                </c:pt>
                <c:pt idx="1">
                  <c:v>Total Expenditures  </c:v>
                </c:pt>
                <c:pt idx="2">
                  <c:v>Projected Ending Fund Balance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Summary!$C$5:$C$9</c15:sqref>
                  </c15:fullRef>
                </c:ext>
              </c:extLst>
              <c:f>(Summary!$C$6:$C$7,Summary!$C$9)</c:f>
              <c:numCache>
                <c:formatCode>_(* #,##0_);_(* \(#,##0\);_(* "-"??_);_(@_)</c:formatCode>
                <c:ptCount val="3"/>
                <c:pt idx="0">
                  <c:v>2507490</c:v>
                </c:pt>
                <c:pt idx="1">
                  <c:v>2853886</c:v>
                </c:pt>
                <c:pt idx="2">
                  <c:v>204685.04999999981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6-4B2D-B3C4-D045C0CB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3872"/>
        <c:axId val="42816304"/>
      </c:barChart>
      <c:catAx>
        <c:axId val="3943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6304"/>
        <c:crosses val="autoZero"/>
        <c:auto val="1"/>
        <c:lblAlgn val="ctr"/>
        <c:lblOffset val="100"/>
        <c:noMultiLvlLbl val="0"/>
      </c:catAx>
      <c:valAx>
        <c:axId val="4281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to Expenditure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Summary!$A$6</c:f>
              <c:strCache>
                <c:ptCount val="1"/>
                <c:pt idx="0">
                  <c:v>Total 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Summary!$B$3:$O$4</c15:sqref>
                  </c15:fullRef>
                  <c15:levelRef>
                    <c15:sqref>Summary!$B$3:$O$3</c15:sqref>
                  </c15:levelRef>
                </c:ext>
              </c:extLst>
              <c:f>Summary!$D$3:$O$3</c:f>
              <c:strCache>
                <c:ptCount val="12"/>
                <c:pt idx="0">
                  <c:v> September </c:v>
                </c:pt>
                <c:pt idx="1">
                  <c:v> October </c:v>
                </c:pt>
                <c:pt idx="2">
                  <c:v> November  </c:v>
                </c:pt>
                <c:pt idx="3">
                  <c:v> December  </c:v>
                </c:pt>
                <c:pt idx="4">
                  <c:v>January </c:v>
                </c:pt>
                <c:pt idx="5">
                  <c:v>February</c:v>
                </c:pt>
                <c:pt idx="6">
                  <c:v>March </c:v>
                </c:pt>
                <c:pt idx="7">
                  <c:v>April </c:v>
                </c:pt>
                <c:pt idx="8">
                  <c:v>May</c:v>
                </c:pt>
                <c:pt idx="9">
                  <c:v>June</c:v>
                </c:pt>
                <c:pt idx="10">
                  <c:v>July </c:v>
                </c:pt>
                <c:pt idx="11">
                  <c:v>August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Summary!$B$6:$O$6</c15:sqref>
                  </c15:fullRef>
                </c:ext>
              </c:extLst>
              <c:f>Summary!$D$6:$O$6</c:f>
              <c:numCache>
                <c:formatCode>_(* #,##0_);_(* \(#,##0\);_(* "-"??_);_(@_)</c:formatCode>
                <c:ptCount val="12"/>
                <c:pt idx="0">
                  <c:v>220793.84</c:v>
                </c:pt>
                <c:pt idx="1">
                  <c:v>201036.42181818181</c:v>
                </c:pt>
                <c:pt idx="2">
                  <c:v>128393.82181818184</c:v>
                </c:pt>
                <c:pt idx="3">
                  <c:v>225250.6218181818</c:v>
                </c:pt>
                <c:pt idx="4">
                  <c:v>213143.52181818179</c:v>
                </c:pt>
                <c:pt idx="5">
                  <c:v>225250.6218181818</c:v>
                </c:pt>
                <c:pt idx="6">
                  <c:v>225250.6218181818</c:v>
                </c:pt>
                <c:pt idx="7">
                  <c:v>225250.6218181818</c:v>
                </c:pt>
                <c:pt idx="8">
                  <c:v>128393.82181818184</c:v>
                </c:pt>
                <c:pt idx="9">
                  <c:v>152608.02181818179</c:v>
                </c:pt>
                <c:pt idx="10">
                  <c:v>310000.32181818178</c:v>
                </c:pt>
                <c:pt idx="11">
                  <c:v>252117.741818182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E-4479-9FC5-E497F05AC074}"/>
            </c:ext>
          </c:extLst>
        </c:ser>
        <c:ser>
          <c:idx val="2"/>
          <c:order val="2"/>
          <c:tx>
            <c:strRef>
              <c:f>Summary!$A$7</c:f>
              <c:strCache>
                <c:ptCount val="1"/>
                <c:pt idx="0">
                  <c:v>Total Expenditures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Summary!$B$3:$O$4</c15:sqref>
                  </c15:fullRef>
                  <c15:levelRef>
                    <c15:sqref>Summary!$B$3:$O$3</c15:sqref>
                  </c15:levelRef>
                </c:ext>
              </c:extLst>
              <c:f>Summary!$D$3:$O$3</c:f>
              <c:strCache>
                <c:ptCount val="12"/>
                <c:pt idx="0">
                  <c:v> September </c:v>
                </c:pt>
                <c:pt idx="1">
                  <c:v> October </c:v>
                </c:pt>
                <c:pt idx="2">
                  <c:v> November  </c:v>
                </c:pt>
                <c:pt idx="3">
                  <c:v> December  </c:v>
                </c:pt>
                <c:pt idx="4">
                  <c:v>January </c:v>
                </c:pt>
                <c:pt idx="5">
                  <c:v>February</c:v>
                </c:pt>
                <c:pt idx="6">
                  <c:v>March </c:v>
                </c:pt>
                <c:pt idx="7">
                  <c:v>April </c:v>
                </c:pt>
                <c:pt idx="8">
                  <c:v>May</c:v>
                </c:pt>
                <c:pt idx="9">
                  <c:v>June</c:v>
                </c:pt>
                <c:pt idx="10">
                  <c:v>July </c:v>
                </c:pt>
                <c:pt idx="11">
                  <c:v>August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Summary!$B$7:$O$7</c15:sqref>
                  </c15:fullRef>
                </c:ext>
              </c:extLst>
              <c:f>Summary!$D$7:$O$7</c:f>
              <c:numCache>
                <c:formatCode>_(* #,##0_);_(* \(#,##0\);_(* "-"??_);_(@_)</c:formatCode>
                <c:ptCount val="12"/>
                <c:pt idx="0">
                  <c:v>174086.22000000003</c:v>
                </c:pt>
                <c:pt idx="1">
                  <c:v>237573.83333333331</c:v>
                </c:pt>
                <c:pt idx="2">
                  <c:v>237573.83333333331</c:v>
                </c:pt>
                <c:pt idx="3">
                  <c:v>244628.0125925926</c:v>
                </c:pt>
                <c:pt idx="4">
                  <c:v>244628.01259259263</c:v>
                </c:pt>
                <c:pt idx="5">
                  <c:v>244628.01259259257</c:v>
                </c:pt>
                <c:pt idx="6">
                  <c:v>244628.01259259257</c:v>
                </c:pt>
                <c:pt idx="7">
                  <c:v>244628.01259259257</c:v>
                </c:pt>
                <c:pt idx="8">
                  <c:v>244628.01259259257</c:v>
                </c:pt>
                <c:pt idx="9">
                  <c:v>244628.0125925926</c:v>
                </c:pt>
                <c:pt idx="10">
                  <c:v>244628.01259259257</c:v>
                </c:pt>
                <c:pt idx="11">
                  <c:v>247628.01259259251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E-4479-9FC5-E497F05A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2752"/>
        <c:axId val="175432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Summary!$A$5</c15:sqref>
                        </c15:formulaRef>
                      </c:ext>
                    </c:extLst>
                    <c:strCache>
                      <c:ptCount val="1"/>
                      <c:pt idx="0">
                        <c:v>ENROLLMENT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Summary!$B$3:$O$4</c15:sqref>
                        </c15:fullRef>
                        <c15:levelRef>
                          <c15:sqref>Summary!$B$3:$O$3</c15:sqref>
                        </c15:levelRef>
                        <c15:formulaRef>
                          <c15:sqref>Summary!$D$3:$O$3</c15:sqref>
                        </c15:formulaRef>
                      </c:ext>
                    </c:extLst>
                    <c:strCache>
                      <c:ptCount val="12"/>
                      <c:pt idx="0">
                        <c:v> September </c:v>
                      </c:pt>
                      <c:pt idx="1">
                        <c:v> October </c:v>
                      </c:pt>
                      <c:pt idx="2">
                        <c:v> November  </c:v>
                      </c:pt>
                      <c:pt idx="3">
                        <c:v> December  </c:v>
                      </c:pt>
                      <c:pt idx="4">
                        <c:v>January </c:v>
                      </c:pt>
                      <c:pt idx="5">
                        <c:v>February</c:v>
                      </c:pt>
                      <c:pt idx="6">
                        <c:v>March </c:v>
                      </c:pt>
                      <c:pt idx="7">
                        <c:v>April </c:v>
                      </c:pt>
                      <c:pt idx="8">
                        <c:v>May</c:v>
                      </c:pt>
                      <c:pt idx="9">
                        <c:v>June</c:v>
                      </c:pt>
                      <c:pt idx="10">
                        <c:v>July </c:v>
                      </c:pt>
                      <c:pt idx="11">
                        <c:v>August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Summary!$B$5:$O$5</c15:sqref>
                        </c15:fullRef>
                        <c15:formulaRef>
                          <c15:sqref>Summary!$D$5:$O$5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43.64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0BE-4479-9FC5-E497F05AC07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Projected Ending Fund Balance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Summary!$B$3:$O$4</c15:sqref>
                        </c15:fullRef>
                        <c15:levelRef>
                          <c15:sqref>Summary!$B$3:$O$3</c15:sqref>
                        </c15:levelRef>
                        <c15:formulaRef>
                          <c15:sqref>Summary!$D$3:$O$3</c15:sqref>
                        </c15:formulaRef>
                      </c:ext>
                    </c:extLst>
                    <c:strCache>
                      <c:ptCount val="12"/>
                      <c:pt idx="0">
                        <c:v> September </c:v>
                      </c:pt>
                      <c:pt idx="1">
                        <c:v> October </c:v>
                      </c:pt>
                      <c:pt idx="2">
                        <c:v> November  </c:v>
                      </c:pt>
                      <c:pt idx="3">
                        <c:v> December  </c:v>
                      </c:pt>
                      <c:pt idx="4">
                        <c:v>January </c:v>
                      </c:pt>
                      <c:pt idx="5">
                        <c:v>February</c:v>
                      </c:pt>
                      <c:pt idx="6">
                        <c:v>March </c:v>
                      </c:pt>
                      <c:pt idx="7">
                        <c:v>April </c:v>
                      </c:pt>
                      <c:pt idx="8">
                        <c:v>May</c:v>
                      </c:pt>
                      <c:pt idx="9">
                        <c:v>June</c:v>
                      </c:pt>
                      <c:pt idx="10">
                        <c:v>July </c:v>
                      </c:pt>
                      <c:pt idx="11">
                        <c:v>August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Summary!$B$9:$O$9</c15:sqref>
                        </c15:fullRef>
                        <c15:formulaRef>
                          <c15:sqref>Summary!$D$9:$O$9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597788.66999999993</c:v>
                      </c:pt>
                      <c:pt idx="1">
                        <c:v>561251.25848484854</c:v>
                      </c:pt>
                      <c:pt idx="2">
                        <c:v>452071.24696969701</c:v>
                      </c:pt>
                      <c:pt idx="3">
                        <c:v>432693.85619528615</c:v>
                      </c:pt>
                      <c:pt idx="4">
                        <c:v>401209.36542087526</c:v>
                      </c:pt>
                      <c:pt idx="5">
                        <c:v>381831.97464646451</c:v>
                      </c:pt>
                      <c:pt idx="6">
                        <c:v>362454.58387205371</c:v>
                      </c:pt>
                      <c:pt idx="7">
                        <c:v>343077.19309764291</c:v>
                      </c:pt>
                      <c:pt idx="8">
                        <c:v>226843.00232323218</c:v>
                      </c:pt>
                      <c:pt idx="9">
                        <c:v>134823.01154882138</c:v>
                      </c:pt>
                      <c:pt idx="10">
                        <c:v>200195.32077441056</c:v>
                      </c:pt>
                      <c:pt idx="11">
                        <c:v>204685.05000000005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0BE-4479-9FC5-E497F05AC074}"/>
                  </c:ext>
                </c:extLst>
              </c15:ser>
            </c15:filteredLineSeries>
          </c:ext>
        </c:extLst>
      </c:lineChart>
      <c:catAx>
        <c:axId val="1757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32928"/>
        <c:crosses val="autoZero"/>
        <c:auto val="1"/>
        <c:lblAlgn val="ctr"/>
        <c:lblOffset val="100"/>
        <c:noMultiLvlLbl val="0"/>
      </c:catAx>
      <c:valAx>
        <c:axId val="17543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11</xdr:row>
      <xdr:rowOff>133349</xdr:rowOff>
    </xdr:from>
    <xdr:to>
      <xdr:col>5</xdr:col>
      <xdr:colOff>828675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A99B0E-6876-0796-1D7B-65F21F268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12</xdr:row>
      <xdr:rowOff>19050</xdr:rowOff>
    </xdr:from>
    <xdr:to>
      <xdr:col>11</xdr:col>
      <xdr:colOff>200025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79BF3-F50C-40FF-EF8D-FDA74928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17</xdr:row>
      <xdr:rowOff>9525</xdr:rowOff>
    </xdr:from>
    <xdr:to>
      <xdr:col>12</xdr:col>
      <xdr:colOff>105732</xdr:colOff>
      <xdr:row>35</xdr:row>
      <xdr:rowOff>76616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EADB4B-2784-B55A-C333-A7EB42AD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3848100"/>
          <a:ext cx="6858957" cy="29817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11</xdr:col>
      <xdr:colOff>515273</xdr:colOff>
      <xdr:row>70</xdr:row>
      <xdr:rowOff>38851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D18586-6895-8730-8AA7-98782BFB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077075"/>
          <a:ext cx="6611273" cy="53823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12</xdr:col>
      <xdr:colOff>67620</xdr:colOff>
      <xdr:row>84</xdr:row>
      <xdr:rowOff>114587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1ABEC5-B3B8-0912-914E-1787FAC0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744450"/>
          <a:ext cx="6773220" cy="205768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2"/>
  <sheetViews>
    <sheetView showGridLines="0" tabSelected="1" zoomScaleNormal="100" workbookViewId="0">
      <pane ySplit="6" topLeftCell="A7" activePane="bottomLeft" state="frozen"/>
      <selection pane="bottomLeft" activeCell="E6" sqref="E6"/>
    </sheetView>
  </sheetViews>
  <sheetFormatPr defaultColWidth="9.140625" defaultRowHeight="12.75" x14ac:dyDescent="0.2"/>
  <cols>
    <col min="1" max="1" width="22.42578125" style="36" customWidth="1"/>
    <col min="2" max="2" width="46.85546875" style="36" bestFit="1" customWidth="1"/>
    <col min="3" max="3" width="17.7109375" style="2" bestFit="1" customWidth="1"/>
    <col min="4" max="4" width="19.7109375" style="2" bestFit="1" customWidth="1"/>
    <col min="5" max="5" width="15.85546875" style="2" bestFit="1" customWidth="1"/>
    <col min="6" max="6" width="14.7109375" style="2" bestFit="1" customWidth="1"/>
    <col min="7" max="7" width="13.7109375" style="2" bestFit="1" customWidth="1"/>
    <col min="8" max="8" width="17" style="2" customWidth="1"/>
    <col min="9" max="13" width="17.42578125" style="1" bestFit="1" customWidth="1"/>
    <col min="14" max="16" width="16.140625" style="1" bestFit="1" customWidth="1"/>
    <col min="17" max="17" width="15" bestFit="1" customWidth="1"/>
    <col min="18" max="18" width="11.42578125" customWidth="1"/>
    <col min="19" max="30" width="9.140625" customWidth="1"/>
    <col min="31" max="16384" width="9.140625" style="1"/>
  </cols>
  <sheetData>
    <row r="1" spans="1:30" ht="15.75" x14ac:dyDescent="0.25">
      <c r="A1" s="119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30" ht="15.75" x14ac:dyDescent="0.25">
      <c r="A2" s="45" t="s">
        <v>48</v>
      </c>
      <c r="B2" s="33"/>
      <c r="C2" s="15"/>
      <c r="D2" s="15"/>
      <c r="E2" s="15"/>
      <c r="F2" s="15"/>
      <c r="G2" s="15"/>
      <c r="H2" s="15"/>
      <c r="I2" s="14"/>
      <c r="J2" s="14"/>
      <c r="K2" s="14"/>
      <c r="L2" s="14"/>
    </row>
    <row r="3" spans="1:30" ht="15.75" x14ac:dyDescent="0.25">
      <c r="A3" s="38"/>
      <c r="B3" s="33"/>
      <c r="C3" s="15"/>
      <c r="D3" s="15"/>
      <c r="E3" s="15"/>
      <c r="F3" s="15"/>
      <c r="G3" s="15"/>
      <c r="H3" s="15"/>
      <c r="I3" s="14"/>
      <c r="J3" s="14"/>
      <c r="K3" s="14"/>
      <c r="L3" s="14"/>
    </row>
    <row r="4" spans="1:30" ht="15.75" x14ac:dyDescent="0.25">
      <c r="A4" s="38"/>
      <c r="B4" s="33"/>
      <c r="C4" s="18" t="s">
        <v>17</v>
      </c>
      <c r="D4" s="19" t="s">
        <v>21</v>
      </c>
      <c r="E4" s="19" t="s">
        <v>7</v>
      </c>
      <c r="F4" s="19" t="s">
        <v>8</v>
      </c>
      <c r="G4" s="19" t="s">
        <v>9</v>
      </c>
      <c r="H4" s="19" t="s">
        <v>10</v>
      </c>
      <c r="I4" s="16" t="s">
        <v>2</v>
      </c>
      <c r="J4" s="16" t="s">
        <v>3</v>
      </c>
      <c r="K4" s="16" t="s">
        <v>4</v>
      </c>
      <c r="L4" s="16" t="s">
        <v>5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30" s="76" customFormat="1" x14ac:dyDescent="0.2">
      <c r="A5" s="70" t="s">
        <v>51</v>
      </c>
      <c r="B5" s="71"/>
      <c r="C5" s="72">
        <v>42</v>
      </c>
      <c r="D5" s="73">
        <v>42</v>
      </c>
      <c r="E5" s="74">
        <v>43.64</v>
      </c>
      <c r="F5" s="74">
        <v>0</v>
      </c>
      <c r="G5" s="74">
        <v>0</v>
      </c>
      <c r="H5" s="74">
        <v>0</v>
      </c>
      <c r="I5" s="74">
        <v>0</v>
      </c>
      <c r="J5" s="75">
        <v>0</v>
      </c>
      <c r="K5" s="75">
        <v>0</v>
      </c>
      <c r="L5" s="75">
        <v>0</v>
      </c>
      <c r="M5" s="76">
        <v>0</v>
      </c>
      <c r="N5" s="76">
        <v>0</v>
      </c>
      <c r="O5" s="76">
        <v>0</v>
      </c>
      <c r="P5" s="76">
        <v>0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x14ac:dyDescent="0.2">
      <c r="C6" s="18" t="s">
        <v>17</v>
      </c>
      <c r="D6" s="19" t="s">
        <v>21</v>
      </c>
      <c r="E6" s="26" t="s">
        <v>60</v>
      </c>
      <c r="F6" s="26" t="s">
        <v>61</v>
      </c>
      <c r="G6" s="26" t="s">
        <v>65</v>
      </c>
      <c r="H6" s="26" t="s">
        <v>56</v>
      </c>
      <c r="I6" s="17" t="s">
        <v>62</v>
      </c>
      <c r="J6" s="17" t="s">
        <v>57</v>
      </c>
      <c r="K6" s="17" t="s">
        <v>58</v>
      </c>
      <c r="L6" s="17" t="s">
        <v>59</v>
      </c>
      <c r="M6" s="20" t="s">
        <v>63</v>
      </c>
      <c r="N6" s="20" t="s">
        <v>54</v>
      </c>
      <c r="O6" s="20" t="s">
        <v>64</v>
      </c>
      <c r="P6" s="21" t="s">
        <v>55</v>
      </c>
      <c r="Q6" s="24" t="s">
        <v>49</v>
      </c>
      <c r="R6" s="24" t="s">
        <v>111</v>
      </c>
    </row>
    <row r="7" spans="1:30" ht="13.5" thickBot="1" x14ac:dyDescent="0.25">
      <c r="A7" s="174" t="s">
        <v>50</v>
      </c>
      <c r="B7" s="175" t="s">
        <v>148</v>
      </c>
      <c r="C7" s="29" t="s">
        <v>6</v>
      </c>
      <c r="D7" s="78" t="s">
        <v>35</v>
      </c>
      <c r="E7" s="215" t="s">
        <v>154</v>
      </c>
      <c r="F7" s="212" t="s">
        <v>135</v>
      </c>
      <c r="G7" s="212" t="s">
        <v>135</v>
      </c>
      <c r="H7" s="212" t="s">
        <v>135</v>
      </c>
      <c r="I7" s="212" t="s">
        <v>135</v>
      </c>
      <c r="J7" s="212" t="s">
        <v>135</v>
      </c>
      <c r="K7" s="212" t="s">
        <v>135</v>
      </c>
      <c r="L7" s="212" t="s">
        <v>135</v>
      </c>
      <c r="M7" s="212" t="s">
        <v>135</v>
      </c>
      <c r="N7" s="212" t="s">
        <v>135</v>
      </c>
      <c r="O7" s="212" t="s">
        <v>135</v>
      </c>
      <c r="P7" s="212" t="s">
        <v>135</v>
      </c>
    </row>
    <row r="8" spans="1:30" x14ac:dyDescent="0.2">
      <c r="A8" s="164" t="s">
        <v>98</v>
      </c>
      <c r="B8" s="176"/>
      <c r="C8" s="177"/>
      <c r="D8" s="17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2"/>
    </row>
    <row r="9" spans="1:30" x14ac:dyDescent="0.2">
      <c r="A9" s="179">
        <v>3100</v>
      </c>
      <c r="B9" s="49" t="s">
        <v>22</v>
      </c>
      <c r="C9" s="27">
        <v>2140557</v>
      </c>
      <c r="D9" s="180">
        <f>C9</f>
        <v>2140557</v>
      </c>
      <c r="E9" s="216">
        <v>192751.67</v>
      </c>
      <c r="F9" s="104">
        <f>SUM($D9*8%)</f>
        <v>171244.56</v>
      </c>
      <c r="G9" s="104">
        <f>SUM($D9*5%)</f>
        <v>107027.85</v>
      </c>
      <c r="H9" s="104">
        <f>SUM($D9*9%)</f>
        <v>192650.13</v>
      </c>
      <c r="I9" s="101">
        <f>$D9*8.5%</f>
        <v>181947.345</v>
      </c>
      <c r="J9" s="101">
        <f t="shared" ref="J9:L10" si="0">SUM($D9*9%)</f>
        <v>192650.13</v>
      </c>
      <c r="K9" s="101">
        <f t="shared" si="0"/>
        <v>192650.13</v>
      </c>
      <c r="L9" s="101">
        <f t="shared" si="0"/>
        <v>192650.13</v>
      </c>
      <c r="M9" s="102">
        <f>SUM($D9*5%)</f>
        <v>107027.85</v>
      </c>
      <c r="N9" s="102">
        <f>SUM($D9*6%)</f>
        <v>128433.42</v>
      </c>
      <c r="O9" s="103">
        <f>SUM($D9*12.5%)</f>
        <v>267569.625</v>
      </c>
      <c r="P9" s="103">
        <f>($D9-SUM($E9:O9))/1</f>
        <v>213954.16000000015</v>
      </c>
      <c r="Q9" s="25">
        <f t="shared" ref="Q9:Q35" si="1">SUM(E9:P9)</f>
        <v>2140557</v>
      </c>
      <c r="R9" s="100">
        <f t="shared" ref="R9:R35" si="2">Q9-D9</f>
        <v>0</v>
      </c>
    </row>
    <row r="10" spans="1:30" x14ac:dyDescent="0.2">
      <c r="A10" s="179">
        <v>3121</v>
      </c>
      <c r="B10" s="49" t="s">
        <v>23</v>
      </c>
      <c r="C10" s="27">
        <v>7120</v>
      </c>
      <c r="D10" s="180">
        <f t="shared" ref="D10:D31" si="3">C10</f>
        <v>7120</v>
      </c>
      <c r="E10" s="216">
        <v>640.85</v>
      </c>
      <c r="F10" s="104">
        <f>SUM($D10*8%)</f>
        <v>569.6</v>
      </c>
      <c r="G10" s="104">
        <f>SUM($D10*5%)</f>
        <v>356</v>
      </c>
      <c r="H10" s="104">
        <f>SUM($D10*9%)</f>
        <v>640.79999999999995</v>
      </c>
      <c r="I10" s="101">
        <f>$D10*8.5%</f>
        <v>605.20000000000005</v>
      </c>
      <c r="J10" s="101">
        <f t="shared" si="0"/>
        <v>640.79999999999995</v>
      </c>
      <c r="K10" s="101">
        <f t="shared" si="0"/>
        <v>640.79999999999995</v>
      </c>
      <c r="L10" s="101">
        <f t="shared" si="0"/>
        <v>640.79999999999995</v>
      </c>
      <c r="M10" s="102">
        <f>SUM($D10*5%)</f>
        <v>356</v>
      </c>
      <c r="N10" s="102">
        <f>SUM($D10*6%)</f>
        <v>427.2</v>
      </c>
      <c r="O10" s="103">
        <f>SUM($D10*12.5%)</f>
        <v>890</v>
      </c>
      <c r="P10" s="103">
        <f>($D10-SUM($E10:O10))/1</f>
        <v>711.94999999999982</v>
      </c>
      <c r="Q10" s="25">
        <f t="shared" si="1"/>
        <v>7120</v>
      </c>
      <c r="R10" s="100">
        <f t="shared" si="2"/>
        <v>0</v>
      </c>
    </row>
    <row r="11" spans="1:30" x14ac:dyDescent="0.2">
      <c r="A11" s="179">
        <v>4100</v>
      </c>
      <c r="B11" s="49" t="s">
        <v>131</v>
      </c>
      <c r="C11" s="79"/>
      <c r="D11" s="180">
        <f t="shared" si="3"/>
        <v>0</v>
      </c>
      <c r="E11" s="216">
        <v>0</v>
      </c>
      <c r="F11" s="104">
        <f t="shared" ref="F11:F18" si="4">SUM($D11*8%)</f>
        <v>0</v>
      </c>
      <c r="G11" s="104">
        <f t="shared" ref="G11:G18" si="5">SUM($D11*5%)</f>
        <v>0</v>
      </c>
      <c r="H11" s="104">
        <f t="shared" ref="H11:H18" si="6">SUM($D11*9%)</f>
        <v>0</v>
      </c>
      <c r="I11" s="101">
        <f t="shared" ref="I11:I18" si="7">$D11*8.5%</f>
        <v>0</v>
      </c>
      <c r="J11" s="101">
        <f t="shared" ref="J11:L18" si="8">SUM($D11*9%)</f>
        <v>0</v>
      </c>
      <c r="K11" s="101">
        <f t="shared" si="8"/>
        <v>0</v>
      </c>
      <c r="L11" s="101">
        <f t="shared" si="8"/>
        <v>0</v>
      </c>
      <c r="M11" s="102">
        <f t="shared" ref="M11:M18" si="9">SUM($D11*5%)</f>
        <v>0</v>
      </c>
      <c r="N11" s="102">
        <f t="shared" ref="N11:N18" si="10">SUM($D11*6%)</f>
        <v>0</v>
      </c>
      <c r="O11" s="103">
        <f t="shared" ref="O11:O18" si="11">SUM($D11*12.5%)</f>
        <v>0</v>
      </c>
      <c r="P11" s="103">
        <f>($D11-SUM($E11:O11))/1</f>
        <v>0</v>
      </c>
      <c r="Q11" s="25">
        <f t="shared" si="1"/>
        <v>0</v>
      </c>
      <c r="R11" s="100">
        <f t="shared" si="2"/>
        <v>0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x14ac:dyDescent="0.2">
      <c r="A12" s="179">
        <v>4109</v>
      </c>
      <c r="B12" s="49" t="s">
        <v>138</v>
      </c>
      <c r="C12" s="27">
        <v>23123</v>
      </c>
      <c r="D12" s="180">
        <f t="shared" si="3"/>
        <v>23123</v>
      </c>
      <c r="E12" s="216">
        <v>2067.15</v>
      </c>
      <c r="F12" s="104">
        <f t="shared" si="4"/>
        <v>1849.8400000000001</v>
      </c>
      <c r="G12" s="104">
        <f t="shared" si="5"/>
        <v>1156.1500000000001</v>
      </c>
      <c r="H12" s="104">
        <f t="shared" si="6"/>
        <v>2081.0699999999997</v>
      </c>
      <c r="I12" s="101">
        <f t="shared" si="7"/>
        <v>1965.4550000000002</v>
      </c>
      <c r="J12" s="101">
        <f t="shared" si="8"/>
        <v>2081.0699999999997</v>
      </c>
      <c r="K12" s="101">
        <f t="shared" si="8"/>
        <v>2081.0699999999997</v>
      </c>
      <c r="L12" s="101">
        <f t="shared" si="8"/>
        <v>2081.0699999999997</v>
      </c>
      <c r="M12" s="102">
        <f t="shared" si="9"/>
        <v>1156.1500000000001</v>
      </c>
      <c r="N12" s="102">
        <f t="shared" si="10"/>
        <v>1387.3799999999999</v>
      </c>
      <c r="O12" s="103">
        <f t="shared" si="11"/>
        <v>2890.375</v>
      </c>
      <c r="P12" s="103">
        <f>($D12-SUM($E12:O12))/1</f>
        <v>2326.2199999999975</v>
      </c>
      <c r="Q12" s="25">
        <f t="shared" si="1"/>
        <v>23123</v>
      </c>
      <c r="R12" s="100">
        <f t="shared" si="2"/>
        <v>0</v>
      </c>
    </row>
    <row r="13" spans="1:30" x14ac:dyDescent="0.2">
      <c r="A13" s="179">
        <v>4121</v>
      </c>
      <c r="B13" s="49" t="s">
        <v>24</v>
      </c>
      <c r="C13" s="27">
        <v>46041</v>
      </c>
      <c r="D13" s="180">
        <f t="shared" si="3"/>
        <v>46041</v>
      </c>
      <c r="E13" s="216">
        <v>4143.92</v>
      </c>
      <c r="F13" s="104">
        <f t="shared" si="4"/>
        <v>3683.28</v>
      </c>
      <c r="G13" s="104">
        <f t="shared" si="5"/>
        <v>2302.0500000000002</v>
      </c>
      <c r="H13" s="104">
        <f t="shared" si="6"/>
        <v>4143.6899999999996</v>
      </c>
      <c r="I13" s="101">
        <f t="shared" si="7"/>
        <v>3913.4850000000001</v>
      </c>
      <c r="J13" s="101">
        <f t="shared" si="8"/>
        <v>4143.6899999999996</v>
      </c>
      <c r="K13" s="101">
        <f t="shared" si="8"/>
        <v>4143.6899999999996</v>
      </c>
      <c r="L13" s="101">
        <f t="shared" si="8"/>
        <v>4143.6899999999996</v>
      </c>
      <c r="M13" s="102">
        <f t="shared" si="9"/>
        <v>2302.0500000000002</v>
      </c>
      <c r="N13" s="102">
        <f t="shared" si="10"/>
        <v>2762.46</v>
      </c>
      <c r="O13" s="103">
        <f t="shared" si="11"/>
        <v>5755.125</v>
      </c>
      <c r="P13" s="103">
        <f>($D13-SUM($E13:O13))/1</f>
        <v>4603.8700000000026</v>
      </c>
      <c r="Q13" s="25">
        <f t="shared" si="1"/>
        <v>46041</v>
      </c>
      <c r="R13" s="100">
        <f t="shared" si="2"/>
        <v>0</v>
      </c>
    </row>
    <row r="14" spans="1:30" x14ac:dyDescent="0.2">
      <c r="A14" s="179">
        <v>4122</v>
      </c>
      <c r="B14" s="49" t="s">
        <v>53</v>
      </c>
      <c r="C14" s="27"/>
      <c r="D14" s="180">
        <f t="shared" si="3"/>
        <v>0</v>
      </c>
      <c r="E14" s="216">
        <v>0</v>
      </c>
      <c r="F14" s="104">
        <f t="shared" si="4"/>
        <v>0</v>
      </c>
      <c r="G14" s="104">
        <f t="shared" si="5"/>
        <v>0</v>
      </c>
      <c r="H14" s="104">
        <f t="shared" si="6"/>
        <v>0</v>
      </c>
      <c r="I14" s="101">
        <f t="shared" si="7"/>
        <v>0</v>
      </c>
      <c r="J14" s="101">
        <f t="shared" si="8"/>
        <v>0</v>
      </c>
      <c r="K14" s="101">
        <f t="shared" si="8"/>
        <v>0</v>
      </c>
      <c r="L14" s="101">
        <f t="shared" si="8"/>
        <v>0</v>
      </c>
      <c r="M14" s="102">
        <f t="shared" si="9"/>
        <v>0</v>
      </c>
      <c r="N14" s="102">
        <f t="shared" si="10"/>
        <v>0</v>
      </c>
      <c r="O14" s="103">
        <f t="shared" si="11"/>
        <v>0</v>
      </c>
      <c r="P14" s="103">
        <f>($D14-SUM($E14:O14))/1</f>
        <v>0</v>
      </c>
      <c r="Q14" s="25">
        <f t="shared" si="1"/>
        <v>0</v>
      </c>
      <c r="R14" s="100">
        <f t="shared" si="2"/>
        <v>0</v>
      </c>
    </row>
    <row r="15" spans="1:30" x14ac:dyDescent="0.2">
      <c r="A15" s="179">
        <v>4134</v>
      </c>
      <c r="B15" s="49" t="s">
        <v>42</v>
      </c>
      <c r="C15" s="27"/>
      <c r="D15" s="180">
        <f t="shared" si="3"/>
        <v>0</v>
      </c>
      <c r="E15" s="216">
        <v>0</v>
      </c>
      <c r="F15" s="104">
        <f t="shared" si="4"/>
        <v>0</v>
      </c>
      <c r="G15" s="104">
        <f t="shared" si="5"/>
        <v>0</v>
      </c>
      <c r="H15" s="104">
        <f t="shared" si="6"/>
        <v>0</v>
      </c>
      <c r="I15" s="101">
        <f t="shared" si="7"/>
        <v>0</v>
      </c>
      <c r="J15" s="101">
        <f t="shared" si="8"/>
        <v>0</v>
      </c>
      <c r="K15" s="101">
        <f t="shared" si="8"/>
        <v>0</v>
      </c>
      <c r="L15" s="101">
        <f t="shared" si="8"/>
        <v>0</v>
      </c>
      <c r="M15" s="102">
        <f t="shared" si="9"/>
        <v>0</v>
      </c>
      <c r="N15" s="102">
        <f t="shared" si="10"/>
        <v>0</v>
      </c>
      <c r="O15" s="103">
        <f t="shared" si="11"/>
        <v>0</v>
      </c>
      <c r="P15" s="103">
        <f>($D15-SUM($E15:O15))/1</f>
        <v>0</v>
      </c>
      <c r="Q15" s="25">
        <f t="shared" si="1"/>
        <v>0</v>
      </c>
      <c r="R15" s="100">
        <f t="shared" si="2"/>
        <v>0</v>
      </c>
    </row>
    <row r="16" spans="1:30" x14ac:dyDescent="0.2">
      <c r="A16" s="179">
        <v>4155</v>
      </c>
      <c r="B16" s="49" t="s">
        <v>25</v>
      </c>
      <c r="C16" s="27">
        <v>39129</v>
      </c>
      <c r="D16" s="180">
        <f t="shared" si="3"/>
        <v>39129</v>
      </c>
      <c r="E16" s="216">
        <v>3780.24</v>
      </c>
      <c r="F16" s="104">
        <f t="shared" si="4"/>
        <v>3130.32</v>
      </c>
      <c r="G16" s="104">
        <f t="shared" si="5"/>
        <v>1956.45</v>
      </c>
      <c r="H16" s="104">
        <f t="shared" si="6"/>
        <v>3521.6099999999997</v>
      </c>
      <c r="I16" s="101">
        <f t="shared" si="7"/>
        <v>3325.9650000000001</v>
      </c>
      <c r="J16" s="101">
        <f t="shared" si="8"/>
        <v>3521.6099999999997</v>
      </c>
      <c r="K16" s="101">
        <f t="shared" si="8"/>
        <v>3521.6099999999997</v>
      </c>
      <c r="L16" s="101">
        <f t="shared" si="8"/>
        <v>3521.6099999999997</v>
      </c>
      <c r="M16" s="102">
        <f t="shared" si="9"/>
        <v>1956.45</v>
      </c>
      <c r="N16" s="102">
        <f t="shared" si="10"/>
        <v>2347.7399999999998</v>
      </c>
      <c r="O16" s="103">
        <f t="shared" si="11"/>
        <v>4891.125</v>
      </c>
      <c r="P16" s="103">
        <f>($D16-SUM($E16:O16))/1</f>
        <v>3654.2699999999968</v>
      </c>
      <c r="Q16" s="25">
        <f t="shared" si="1"/>
        <v>39129</v>
      </c>
      <c r="R16" s="100">
        <f t="shared" si="2"/>
        <v>0</v>
      </c>
    </row>
    <row r="17" spans="1:30" x14ac:dyDescent="0.2">
      <c r="A17" s="179">
        <v>4156</v>
      </c>
      <c r="B17" s="49" t="s">
        <v>34</v>
      </c>
      <c r="C17" s="27"/>
      <c r="D17" s="180">
        <f t="shared" si="3"/>
        <v>0</v>
      </c>
      <c r="E17" s="216">
        <v>0</v>
      </c>
      <c r="F17" s="104">
        <f t="shared" si="4"/>
        <v>0</v>
      </c>
      <c r="G17" s="104">
        <f t="shared" si="5"/>
        <v>0</v>
      </c>
      <c r="H17" s="104">
        <f t="shared" si="6"/>
        <v>0</v>
      </c>
      <c r="I17" s="101">
        <f t="shared" si="7"/>
        <v>0</v>
      </c>
      <c r="J17" s="101">
        <f t="shared" si="8"/>
        <v>0</v>
      </c>
      <c r="K17" s="101">
        <f t="shared" si="8"/>
        <v>0</v>
      </c>
      <c r="L17" s="101">
        <f t="shared" si="8"/>
        <v>0</v>
      </c>
      <c r="M17" s="102">
        <f t="shared" si="9"/>
        <v>0</v>
      </c>
      <c r="N17" s="102">
        <f t="shared" si="10"/>
        <v>0</v>
      </c>
      <c r="O17" s="103">
        <f t="shared" si="11"/>
        <v>0</v>
      </c>
      <c r="P17" s="103">
        <f>($D17-SUM($E17:O17))/1</f>
        <v>0</v>
      </c>
      <c r="Q17" s="25">
        <f t="shared" si="1"/>
        <v>0</v>
      </c>
      <c r="R17" s="100">
        <f t="shared" si="2"/>
        <v>0</v>
      </c>
    </row>
    <row r="18" spans="1:30" x14ac:dyDescent="0.2">
      <c r="A18" s="179" t="s">
        <v>20</v>
      </c>
      <c r="B18" s="49" t="s">
        <v>26</v>
      </c>
      <c r="C18" s="27"/>
      <c r="D18" s="180">
        <f t="shared" si="3"/>
        <v>0</v>
      </c>
      <c r="E18" s="216">
        <v>0</v>
      </c>
      <c r="F18" s="104">
        <f t="shared" si="4"/>
        <v>0</v>
      </c>
      <c r="G18" s="104">
        <f t="shared" si="5"/>
        <v>0</v>
      </c>
      <c r="H18" s="104">
        <f t="shared" si="6"/>
        <v>0</v>
      </c>
      <c r="I18" s="101">
        <f t="shared" si="7"/>
        <v>0</v>
      </c>
      <c r="J18" s="101">
        <f t="shared" si="8"/>
        <v>0</v>
      </c>
      <c r="K18" s="101">
        <f t="shared" si="8"/>
        <v>0</v>
      </c>
      <c r="L18" s="101">
        <f t="shared" si="8"/>
        <v>0</v>
      </c>
      <c r="M18" s="102">
        <f t="shared" si="9"/>
        <v>0</v>
      </c>
      <c r="N18" s="102">
        <f t="shared" si="10"/>
        <v>0</v>
      </c>
      <c r="O18" s="103">
        <f t="shared" si="11"/>
        <v>0</v>
      </c>
      <c r="P18" s="103">
        <f>($D18-SUM($E18:O18))/1</f>
        <v>0</v>
      </c>
      <c r="Q18" s="25">
        <f t="shared" si="1"/>
        <v>0</v>
      </c>
      <c r="R18" s="100">
        <f t="shared" si="2"/>
        <v>0</v>
      </c>
    </row>
    <row r="19" spans="1:30" x14ac:dyDescent="0.2">
      <c r="A19" s="179" t="s">
        <v>115</v>
      </c>
      <c r="B19" s="49" t="s">
        <v>116</v>
      </c>
      <c r="C19" s="27"/>
      <c r="D19" s="180">
        <f t="shared" si="3"/>
        <v>0</v>
      </c>
      <c r="E19" s="216">
        <v>0</v>
      </c>
      <c r="F19" s="104"/>
      <c r="G19" s="104"/>
      <c r="H19" s="104"/>
      <c r="I19" s="101"/>
      <c r="J19" s="101"/>
      <c r="K19" s="101"/>
      <c r="L19" s="101"/>
      <c r="M19" s="101"/>
      <c r="N19" s="101"/>
      <c r="O19" s="103">
        <f>D19</f>
        <v>0</v>
      </c>
      <c r="P19" s="103"/>
      <c r="Q19" s="25">
        <f t="shared" si="1"/>
        <v>0</v>
      </c>
      <c r="R19" s="100">
        <f t="shared" si="2"/>
        <v>0</v>
      </c>
    </row>
    <row r="20" spans="1:30" x14ac:dyDescent="0.2">
      <c r="A20" s="179" t="s">
        <v>140</v>
      </c>
      <c r="B20" s="49" t="s">
        <v>141</v>
      </c>
      <c r="C20" s="27"/>
      <c r="D20" s="180">
        <f t="shared" si="3"/>
        <v>0</v>
      </c>
      <c r="E20" s="216">
        <v>0</v>
      </c>
      <c r="F20" s="104"/>
      <c r="G20" s="104"/>
      <c r="H20" s="104"/>
      <c r="I20" s="101"/>
      <c r="J20" s="101"/>
      <c r="K20" s="101"/>
      <c r="L20" s="101"/>
      <c r="M20" s="101"/>
      <c r="N20" s="101"/>
      <c r="O20" s="103">
        <f>D20</f>
        <v>0</v>
      </c>
      <c r="P20" s="103"/>
      <c r="Q20" s="25">
        <f t="shared" si="1"/>
        <v>0</v>
      </c>
      <c r="R20" s="100">
        <f t="shared" si="2"/>
        <v>0</v>
      </c>
    </row>
    <row r="21" spans="1:30" x14ac:dyDescent="0.2">
      <c r="A21" s="179" t="s">
        <v>37</v>
      </c>
      <c r="B21" s="49" t="s">
        <v>38</v>
      </c>
      <c r="C21" s="27"/>
      <c r="D21" s="180">
        <f t="shared" si="3"/>
        <v>0</v>
      </c>
      <c r="E21" s="216">
        <v>0</v>
      </c>
      <c r="F21" s="104">
        <f>SUM($D21*8%)</f>
        <v>0</v>
      </c>
      <c r="G21" s="104">
        <f>SUM($D21*5%)</f>
        <v>0</v>
      </c>
      <c r="H21" s="104">
        <f>SUM($D21*9%)</f>
        <v>0</v>
      </c>
      <c r="I21" s="101">
        <f>($D21-SUM($E21:H21))/8</f>
        <v>0</v>
      </c>
      <c r="J21" s="101">
        <f>($D21-SUM($E21:I21))/7</f>
        <v>0</v>
      </c>
      <c r="K21" s="101">
        <f>($D21-SUM($E21:J21))/6</f>
        <v>0</v>
      </c>
      <c r="L21" s="101">
        <f>($D21-SUM($E21:K21))/5</f>
        <v>0</v>
      </c>
      <c r="M21" s="101">
        <f>($D21-SUM($E21:L21))/4</f>
        <v>0</v>
      </c>
      <c r="N21" s="101">
        <f>($D21-SUM($E21:M21))/3</f>
        <v>0</v>
      </c>
      <c r="O21" s="103">
        <f>($D21-SUM($E21:N21))/2</f>
        <v>0</v>
      </c>
      <c r="P21" s="103">
        <f>($D21-SUM($E21:O21))/1</f>
        <v>0</v>
      </c>
      <c r="Q21" s="25">
        <f t="shared" si="1"/>
        <v>0</v>
      </c>
      <c r="R21" s="100">
        <f t="shared" si="2"/>
        <v>0</v>
      </c>
    </row>
    <row r="22" spans="1:30" x14ac:dyDescent="0.2">
      <c r="A22" s="179" t="s">
        <v>39</v>
      </c>
      <c r="B22" s="49" t="s">
        <v>36</v>
      </c>
      <c r="C22" s="27"/>
      <c r="D22" s="180">
        <f t="shared" si="3"/>
        <v>0</v>
      </c>
      <c r="E22" s="216">
        <v>0</v>
      </c>
      <c r="F22" s="104">
        <f>SUM($D22*8%)</f>
        <v>0</v>
      </c>
      <c r="G22" s="104">
        <f>SUM($D22*5%)</f>
        <v>0</v>
      </c>
      <c r="H22" s="104">
        <f>SUM($D22*9%)</f>
        <v>0</v>
      </c>
      <c r="I22" s="101">
        <f>($D22-SUM($E22:H22))/8</f>
        <v>0</v>
      </c>
      <c r="J22" s="101">
        <f>($D22-SUM($E22:I22))/7</f>
        <v>0</v>
      </c>
      <c r="K22" s="101">
        <f>($D22-SUM($E22:J22))/6</f>
        <v>0</v>
      </c>
      <c r="L22" s="101">
        <f>($D22-SUM($E22:K22))/5</f>
        <v>0</v>
      </c>
      <c r="M22" s="101">
        <f>($D22-SUM($E22:L22))/4</f>
        <v>0</v>
      </c>
      <c r="N22" s="101">
        <f>($D22-SUM($E22:M22))/3</f>
        <v>0</v>
      </c>
      <c r="O22" s="103">
        <f>($D22-SUM($E22:N22))/2</f>
        <v>0</v>
      </c>
      <c r="P22" s="103">
        <f>($D22-SUM($E22:O22))/1</f>
        <v>0</v>
      </c>
      <c r="Q22" s="25">
        <f t="shared" si="1"/>
        <v>0</v>
      </c>
      <c r="R22" s="100">
        <f t="shared" si="2"/>
        <v>0</v>
      </c>
    </row>
    <row r="23" spans="1:30" x14ac:dyDescent="0.2">
      <c r="A23" s="179">
        <v>4165</v>
      </c>
      <c r="B23" s="49" t="s">
        <v>30</v>
      </c>
      <c r="C23" s="27"/>
      <c r="D23" s="180">
        <f t="shared" si="3"/>
        <v>0</v>
      </c>
      <c r="E23" s="216">
        <v>0</v>
      </c>
      <c r="F23" s="104">
        <f>SUM($D23*8%)</f>
        <v>0</v>
      </c>
      <c r="G23" s="104">
        <f>SUM($D23*5%)</f>
        <v>0</v>
      </c>
      <c r="H23" s="104">
        <f>SUM($D23*9%)</f>
        <v>0</v>
      </c>
      <c r="I23" s="101">
        <f>$D23*8.5%</f>
        <v>0</v>
      </c>
      <c r="J23" s="101">
        <f t="shared" ref="J23:L24" si="12">SUM($D23*9%)</f>
        <v>0</v>
      </c>
      <c r="K23" s="101">
        <f t="shared" si="12"/>
        <v>0</v>
      </c>
      <c r="L23" s="101">
        <f t="shared" si="12"/>
        <v>0</v>
      </c>
      <c r="M23" s="102">
        <f>SUM($D23*5%)</f>
        <v>0</v>
      </c>
      <c r="N23" s="102">
        <f>SUM($D23*6%)</f>
        <v>0</v>
      </c>
      <c r="O23" s="103">
        <f>SUM($D23*12.5%)</f>
        <v>0</v>
      </c>
      <c r="P23" s="103">
        <f>($D23-SUM($E23:O23))/1</f>
        <v>0</v>
      </c>
      <c r="Q23" s="25">
        <f t="shared" si="1"/>
        <v>0</v>
      </c>
      <c r="R23" s="100">
        <f t="shared" si="2"/>
        <v>0</v>
      </c>
    </row>
    <row r="24" spans="1:30" x14ac:dyDescent="0.2">
      <c r="A24" s="179">
        <v>4174</v>
      </c>
      <c r="B24" s="49" t="s">
        <v>31</v>
      </c>
      <c r="C24" s="27"/>
      <c r="D24" s="180">
        <f t="shared" si="3"/>
        <v>0</v>
      </c>
      <c r="E24" s="216">
        <v>0</v>
      </c>
      <c r="F24" s="104">
        <f>SUM($D24*8%)</f>
        <v>0</v>
      </c>
      <c r="G24" s="104">
        <f>SUM($D24*5%)</f>
        <v>0</v>
      </c>
      <c r="H24" s="104">
        <f>SUM($D24*9%)</f>
        <v>0</v>
      </c>
      <c r="I24" s="101">
        <f>$D24*8.5%</f>
        <v>0</v>
      </c>
      <c r="J24" s="101">
        <f t="shared" si="12"/>
        <v>0</v>
      </c>
      <c r="K24" s="101">
        <f t="shared" si="12"/>
        <v>0</v>
      </c>
      <c r="L24" s="101">
        <f t="shared" si="12"/>
        <v>0</v>
      </c>
      <c r="M24" s="102">
        <f>SUM($D24*5%)</f>
        <v>0</v>
      </c>
      <c r="N24" s="102">
        <f>SUM($D24*6%)</f>
        <v>0</v>
      </c>
      <c r="O24" s="103">
        <f>SUM($D24*12.5%)</f>
        <v>0</v>
      </c>
      <c r="P24" s="103">
        <f>($D24-SUM($E24:O24))/1</f>
        <v>0</v>
      </c>
      <c r="Q24" s="25">
        <f t="shared" si="1"/>
        <v>0</v>
      </c>
      <c r="R24" s="100">
        <f t="shared" si="2"/>
        <v>0</v>
      </c>
    </row>
    <row r="25" spans="1:30" x14ac:dyDescent="0.2">
      <c r="A25" s="179">
        <v>4175</v>
      </c>
      <c r="B25" s="49" t="s">
        <v>27</v>
      </c>
      <c r="C25" s="27"/>
      <c r="D25" s="180">
        <f t="shared" si="3"/>
        <v>0</v>
      </c>
      <c r="E25" s="216">
        <v>0</v>
      </c>
      <c r="F25" s="104">
        <f>($D25-SUM($E25:E25))/11</f>
        <v>0</v>
      </c>
      <c r="G25" s="104">
        <f>($D25-SUM($E25:F25))/10</f>
        <v>0</v>
      </c>
      <c r="H25" s="104">
        <f>($D25-SUM($E25:G25))/9</f>
        <v>0</v>
      </c>
      <c r="I25" s="101">
        <f>($D25-SUM($E25:H25))/8</f>
        <v>0</v>
      </c>
      <c r="J25" s="101">
        <f>($D25-SUM($E25:I25))/7</f>
        <v>0</v>
      </c>
      <c r="K25" s="101">
        <f>($D25-SUM($E25:J25))/6</f>
        <v>0</v>
      </c>
      <c r="L25" s="101">
        <f>($D25-SUM($E25:K25))/5</f>
        <v>0</v>
      </c>
      <c r="M25" s="101">
        <f>($D25-SUM($E25:L25))/4</f>
        <v>0</v>
      </c>
      <c r="N25" s="101">
        <f>($D25-SUM($E25:M25))/3</f>
        <v>0</v>
      </c>
      <c r="O25" s="103">
        <f>($D25-SUM($E25:N25))/2</f>
        <v>0</v>
      </c>
      <c r="P25" s="103">
        <f>($D25-SUM($E25:O25))/1</f>
        <v>0</v>
      </c>
      <c r="Q25" s="25">
        <f t="shared" si="1"/>
        <v>0</v>
      </c>
      <c r="R25" s="100">
        <f t="shared" si="2"/>
        <v>0</v>
      </c>
    </row>
    <row r="26" spans="1:30" x14ac:dyDescent="0.2">
      <c r="A26" s="179">
        <v>4198</v>
      </c>
      <c r="B26" s="49" t="s">
        <v>1</v>
      </c>
      <c r="C26" s="27"/>
      <c r="D26" s="180">
        <f t="shared" si="3"/>
        <v>0</v>
      </c>
      <c r="E26" s="216">
        <v>0</v>
      </c>
      <c r="F26" s="104">
        <f>($D26-SUM($E26:E26))/11</f>
        <v>0</v>
      </c>
      <c r="G26" s="104">
        <f>($D26-SUM($E26:F26))/10</f>
        <v>0</v>
      </c>
      <c r="H26" s="104">
        <f>($D26-SUM($E26:G26))/9</f>
        <v>0</v>
      </c>
      <c r="I26" s="101">
        <f>($D26-SUM($E26:H26))/8</f>
        <v>0</v>
      </c>
      <c r="J26" s="101">
        <f>($D26-SUM($E26:I26))/7</f>
        <v>0</v>
      </c>
      <c r="K26" s="101">
        <f>($D26-SUM($E26:J26))/6</f>
        <v>0</v>
      </c>
      <c r="L26" s="101">
        <f>($D26-SUM($E26:K26))/5</f>
        <v>0</v>
      </c>
      <c r="M26" s="102">
        <f>($D26-SUM($E26:L26))/4</f>
        <v>0</v>
      </c>
      <c r="N26" s="102">
        <f>($D26-SUM($E26:M26))/3</f>
        <v>0</v>
      </c>
      <c r="O26" s="103">
        <f>($D26-SUM($E26:N26))/2</f>
        <v>0</v>
      </c>
      <c r="P26" s="103">
        <f>($D26-SUM($E26:O26))/1</f>
        <v>0</v>
      </c>
      <c r="Q26" s="25">
        <f t="shared" si="1"/>
        <v>0</v>
      </c>
      <c r="R26" s="100">
        <f t="shared" si="2"/>
        <v>0</v>
      </c>
    </row>
    <row r="27" spans="1:30" x14ac:dyDescent="0.2">
      <c r="A27" s="179" t="s">
        <v>19</v>
      </c>
      <c r="B27" s="49" t="s">
        <v>11</v>
      </c>
      <c r="C27" s="27">
        <v>100</v>
      </c>
      <c r="D27" s="180">
        <f t="shared" si="3"/>
        <v>100</v>
      </c>
      <c r="E27" s="216">
        <v>0</v>
      </c>
      <c r="F27" s="104">
        <f>($D27-SUM($E27:E27))/11</f>
        <v>9.0909090909090917</v>
      </c>
      <c r="G27" s="104">
        <f>($D27-SUM($E27:F27))/10</f>
        <v>9.0909090909090899</v>
      </c>
      <c r="H27" s="104">
        <f>($D27-SUM($E27:G27))/9</f>
        <v>9.0909090909090899</v>
      </c>
      <c r="I27" s="101">
        <f>($D27-SUM($E27:H27))/8</f>
        <v>9.0909090909090917</v>
      </c>
      <c r="J27" s="101">
        <f>($D27-SUM($E27:I27))/7</f>
        <v>9.0909090909090917</v>
      </c>
      <c r="K27" s="101">
        <f>($D27-SUM($E27:J27))/6</f>
        <v>9.0909090909090917</v>
      </c>
      <c r="L27" s="101">
        <f>($D27-SUM($E27:K27))/5</f>
        <v>9.0909090909090899</v>
      </c>
      <c r="M27" s="102">
        <f>($D27-SUM($E27:L27))/4</f>
        <v>9.0909090909090899</v>
      </c>
      <c r="N27" s="102">
        <f>($D27-SUM($E27:M27))/3</f>
        <v>9.0909090909090882</v>
      </c>
      <c r="O27" s="103">
        <f>($D27-SUM($E27:N27))/2</f>
        <v>9.0909090909090864</v>
      </c>
      <c r="P27" s="103">
        <f>($D27-SUM($E27:O27))/1</f>
        <v>9.0909090909090935</v>
      </c>
      <c r="Q27" s="25">
        <f t="shared" si="1"/>
        <v>100</v>
      </c>
      <c r="R27" s="100">
        <f t="shared" si="2"/>
        <v>0</v>
      </c>
    </row>
    <row r="28" spans="1:30" x14ac:dyDescent="0.2">
      <c r="A28" s="179" t="s">
        <v>28</v>
      </c>
      <c r="B28" s="49" t="s">
        <v>29</v>
      </c>
      <c r="C28" s="27"/>
      <c r="D28" s="180">
        <f t="shared" si="3"/>
        <v>0</v>
      </c>
      <c r="E28" s="216">
        <v>0</v>
      </c>
      <c r="F28" s="104">
        <f>($D28-SUM($E28:E28))/11</f>
        <v>0</v>
      </c>
      <c r="G28" s="104">
        <f>($D28-SUM($E28:F28))/10</f>
        <v>0</v>
      </c>
      <c r="H28" s="104">
        <f>($D28-SUM($E28:G28))/9</f>
        <v>0</v>
      </c>
      <c r="I28" s="101">
        <f>($D28-SUM($E28:H28))/8</f>
        <v>0</v>
      </c>
      <c r="J28" s="101">
        <f>($D28-SUM($E28:I28))/7</f>
        <v>0</v>
      </c>
      <c r="K28" s="101">
        <f>($D28-SUM($E28:J28))/6</f>
        <v>0</v>
      </c>
      <c r="L28" s="101">
        <f>($D28-SUM($E28:K28))/5</f>
        <v>0</v>
      </c>
      <c r="M28" s="102">
        <f>($D28-SUM($E28:L28))/4</f>
        <v>0</v>
      </c>
      <c r="N28" s="102">
        <f>($D28-SUM($E28:M28))/3</f>
        <v>0</v>
      </c>
      <c r="O28" s="103">
        <f>($D28-SUM($E28:N28))/2</f>
        <v>0</v>
      </c>
      <c r="P28" s="103">
        <f>($D28-SUM($E28:O28))/1</f>
        <v>0</v>
      </c>
      <c r="Q28" s="25">
        <f t="shared" si="1"/>
        <v>0</v>
      </c>
      <c r="R28" s="100">
        <f t="shared" si="2"/>
        <v>0</v>
      </c>
    </row>
    <row r="29" spans="1:30" x14ac:dyDescent="0.2">
      <c r="A29" s="179" t="s">
        <v>142</v>
      </c>
      <c r="B29" s="49" t="s">
        <v>144</v>
      </c>
      <c r="C29" s="27">
        <v>1800</v>
      </c>
      <c r="D29" s="180">
        <f t="shared" si="3"/>
        <v>1800</v>
      </c>
      <c r="E29" s="216">
        <v>0</v>
      </c>
      <c r="F29" s="104">
        <f>($D29-SUM($E29:E29))/11</f>
        <v>163.63636363636363</v>
      </c>
      <c r="G29" s="104">
        <f>($D29-SUM($E29:F29))/10</f>
        <v>163.63636363636365</v>
      </c>
      <c r="H29" s="104">
        <f>($D29-SUM($E29:G29))/9</f>
        <v>163.63636363636363</v>
      </c>
      <c r="I29" s="101">
        <f>($D29-SUM($E29:H29))/8</f>
        <v>163.63636363636363</v>
      </c>
      <c r="J29" s="101">
        <f>($D29-SUM($E29:I29))/7</f>
        <v>163.63636363636365</v>
      </c>
      <c r="K29" s="101">
        <f>($D29-SUM($E29:J29))/6</f>
        <v>163.63636363636365</v>
      </c>
      <c r="L29" s="101">
        <f>($D29-SUM($E29:K29))/5</f>
        <v>163.63636363636365</v>
      </c>
      <c r="M29" s="102">
        <f>($D29-SUM($E29:L29))/4</f>
        <v>163.63636363636363</v>
      </c>
      <c r="N29" s="102">
        <f>($D29-SUM($E29:M29))/3</f>
        <v>163.63636363636365</v>
      </c>
      <c r="O29" s="103">
        <f>($D29-SUM($E29:N29))/2</f>
        <v>163.63636363636363</v>
      </c>
      <c r="P29" s="103">
        <f>($D29-SUM($E29:O29))/1</f>
        <v>163.63636363636351</v>
      </c>
      <c r="Q29" s="25">
        <f t="shared" si="1"/>
        <v>1800</v>
      </c>
      <c r="R29" s="100">
        <f t="shared" si="2"/>
        <v>0</v>
      </c>
    </row>
    <row r="30" spans="1:30" x14ac:dyDescent="0.2">
      <c r="A30" s="179" t="s">
        <v>143</v>
      </c>
      <c r="B30" s="49" t="s">
        <v>145</v>
      </c>
      <c r="C30" s="27">
        <v>3500</v>
      </c>
      <c r="D30" s="180">
        <f t="shared" si="3"/>
        <v>3500</v>
      </c>
      <c r="E30" s="216">
        <v>0</v>
      </c>
      <c r="F30" s="104">
        <f>($D30-SUM($E30:E30))/11</f>
        <v>318.18181818181819</v>
      </c>
      <c r="G30" s="104">
        <f>($D30-SUM($E30:F30))/10</f>
        <v>318.18181818181819</v>
      </c>
      <c r="H30" s="104">
        <f>($D30-SUM($E30:G30))/9</f>
        <v>318.18181818181819</v>
      </c>
      <c r="I30" s="101">
        <f>($D30-SUM($E30:H30))/8</f>
        <v>318.18181818181819</v>
      </c>
      <c r="J30" s="101">
        <f>($D30-SUM($E30:I30))/7</f>
        <v>318.18181818181813</v>
      </c>
      <c r="K30" s="101">
        <f>($D30-SUM($E30:J30))/6</f>
        <v>318.18181818181819</v>
      </c>
      <c r="L30" s="101">
        <f>($D30-SUM($E30:K30))/5</f>
        <v>318.18181818181813</v>
      </c>
      <c r="M30" s="102">
        <f>($D30-SUM($E30:L30))/4</f>
        <v>318.18181818181813</v>
      </c>
      <c r="N30" s="102">
        <f>($D30-SUM($E30:M30))/3</f>
        <v>318.18181818181819</v>
      </c>
      <c r="O30" s="103">
        <f>($D30-SUM($E30:N30))/2</f>
        <v>318.18181818181824</v>
      </c>
      <c r="P30" s="103">
        <f>($D30-SUM($E30:O30))/1</f>
        <v>318.18181818181802</v>
      </c>
      <c r="Q30" s="25">
        <f t="shared" si="1"/>
        <v>3500</v>
      </c>
      <c r="R30" s="100">
        <f t="shared" si="2"/>
        <v>0</v>
      </c>
    </row>
    <row r="31" spans="1:30" s="83" customFormat="1" ht="13.5" thickBot="1" x14ac:dyDescent="0.25">
      <c r="A31" s="181">
        <v>4199</v>
      </c>
      <c r="B31" s="85" t="s">
        <v>32</v>
      </c>
      <c r="C31" s="86">
        <v>165450</v>
      </c>
      <c r="D31" s="180">
        <f t="shared" si="3"/>
        <v>165450</v>
      </c>
      <c r="E31" s="216">
        <v>14891.05</v>
      </c>
      <c r="F31" s="104">
        <f>SUM($D31*8%)</f>
        <v>13236</v>
      </c>
      <c r="G31" s="104">
        <f>SUM($D31*5%)</f>
        <v>8272.5</v>
      </c>
      <c r="H31" s="104">
        <f>SUM($D31*9%)</f>
        <v>14890.5</v>
      </c>
      <c r="I31" s="101">
        <f>$D31*8.5%</f>
        <v>14063.250000000002</v>
      </c>
      <c r="J31" s="101">
        <f>SUM($D31*9%)</f>
        <v>14890.5</v>
      </c>
      <c r="K31" s="101">
        <f>SUM($D31*9%)</f>
        <v>14890.5</v>
      </c>
      <c r="L31" s="101">
        <f>SUM($D31*9%)</f>
        <v>14890.5</v>
      </c>
      <c r="M31" s="102">
        <f>SUM($D31*5%)</f>
        <v>8272.5</v>
      </c>
      <c r="N31" s="102">
        <f>SUM($D31*6%)</f>
        <v>9927</v>
      </c>
      <c r="O31" s="103">
        <f>SUM($D31*12.5%)</f>
        <v>20681.25</v>
      </c>
      <c r="P31" s="103">
        <f>($D31-SUM($E31:O31))/1</f>
        <v>16544.450000000012</v>
      </c>
      <c r="Q31" s="81">
        <f t="shared" si="1"/>
        <v>165450</v>
      </c>
      <c r="R31" s="100">
        <f t="shared" si="2"/>
        <v>0</v>
      </c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</row>
    <row r="32" spans="1:30" ht="13.5" thickTop="1" x14ac:dyDescent="0.2">
      <c r="A32" s="179"/>
      <c r="B32" s="49"/>
      <c r="C32" s="27">
        <v>0</v>
      </c>
      <c r="D32" s="180">
        <v>0</v>
      </c>
      <c r="E32" s="216">
        <v>0</v>
      </c>
      <c r="F32" s="104">
        <f>SUM($D32*8%)</f>
        <v>0</v>
      </c>
      <c r="G32" s="104">
        <f>SUM($D32*5%)</f>
        <v>0</v>
      </c>
      <c r="H32" s="104">
        <f>SUM($D32*9%)</f>
        <v>0</v>
      </c>
      <c r="I32" s="101">
        <f>($D32-SUM($E32:H32))/8</f>
        <v>0</v>
      </c>
      <c r="J32" s="101">
        <f>($D32-SUM($E32:I32))/7</f>
        <v>0</v>
      </c>
      <c r="K32" s="101">
        <f>($D32-SUM($E32:J32))/6</f>
        <v>0</v>
      </c>
      <c r="L32" s="101">
        <f>($D32-SUM($E32:K32))/5</f>
        <v>0</v>
      </c>
      <c r="M32" s="102">
        <f>($D32-SUM($E32:L32))/4</f>
        <v>0</v>
      </c>
      <c r="N32" s="102">
        <f>($D32-SUM($E32:M32))/3</f>
        <v>0</v>
      </c>
      <c r="O32" s="103">
        <f>($D32-SUM($E32:N32))/2</f>
        <v>0</v>
      </c>
      <c r="P32" s="103">
        <f>($D32-SUM($E32:O32))/1</f>
        <v>0</v>
      </c>
      <c r="Q32" s="25">
        <f t="shared" si="1"/>
        <v>0</v>
      </c>
      <c r="R32" s="100">
        <f t="shared" si="2"/>
        <v>0</v>
      </c>
    </row>
    <row r="33" spans="1:30" x14ac:dyDescent="0.2">
      <c r="A33" s="179"/>
      <c r="B33" s="49"/>
      <c r="C33" s="27">
        <v>0</v>
      </c>
      <c r="D33" s="180">
        <v>0</v>
      </c>
      <c r="E33" s="216">
        <v>0</v>
      </c>
      <c r="F33" s="104">
        <f>SUM($D33*8%)</f>
        <v>0</v>
      </c>
      <c r="G33" s="104">
        <f>SUM($D33*5%)</f>
        <v>0</v>
      </c>
      <c r="H33" s="104">
        <f>SUM($D33*9%)</f>
        <v>0</v>
      </c>
      <c r="I33" s="101">
        <f>($D33-SUM($E33:H33))/8</f>
        <v>0</v>
      </c>
      <c r="J33" s="101">
        <f>($D33-SUM($E33:I33))/7</f>
        <v>0</v>
      </c>
      <c r="K33" s="101">
        <f>($D33-SUM($E33:J33))/6</f>
        <v>0</v>
      </c>
      <c r="L33" s="101">
        <f>($D33-SUM($E33:K33))/5</f>
        <v>0</v>
      </c>
      <c r="M33" s="102">
        <f>($D33-SUM($E33:L33))/4</f>
        <v>0</v>
      </c>
      <c r="N33" s="102">
        <f>($D33-SUM($E33:M33))/3</f>
        <v>0</v>
      </c>
      <c r="O33" s="103">
        <f>($D33-SUM($E33:N33))/2</f>
        <v>0</v>
      </c>
      <c r="P33" s="103">
        <f>($D33-SUM($E33:O33))/1</f>
        <v>0</v>
      </c>
      <c r="Q33" s="25">
        <f t="shared" si="1"/>
        <v>0</v>
      </c>
      <c r="R33" s="100">
        <f t="shared" si="2"/>
        <v>0</v>
      </c>
    </row>
    <row r="34" spans="1:30" x14ac:dyDescent="0.2">
      <c r="A34" s="179"/>
      <c r="B34" s="49"/>
      <c r="C34" s="27">
        <v>0</v>
      </c>
      <c r="D34" s="180">
        <v>0</v>
      </c>
      <c r="E34" s="216">
        <v>0</v>
      </c>
      <c r="F34" s="104">
        <f>SUM($D34*8%)</f>
        <v>0</v>
      </c>
      <c r="G34" s="104">
        <f>SUM($D34*5%)</f>
        <v>0</v>
      </c>
      <c r="H34" s="104">
        <f>SUM($D34*9%)</f>
        <v>0</v>
      </c>
      <c r="I34" s="101">
        <f>($D34-SUM($E34:H34))/8</f>
        <v>0</v>
      </c>
      <c r="J34" s="101">
        <f>($D34-SUM($E34:I34))/7</f>
        <v>0</v>
      </c>
      <c r="K34" s="101">
        <f>($D34-SUM($E34:J34))/6</f>
        <v>0</v>
      </c>
      <c r="L34" s="101">
        <f>($D34-SUM($E34:K34))/5</f>
        <v>0</v>
      </c>
      <c r="M34" s="102">
        <f>($D34-SUM($E34:L34))/4</f>
        <v>0</v>
      </c>
      <c r="N34" s="102">
        <f>($D34-SUM($E34:M34))/3</f>
        <v>0</v>
      </c>
      <c r="O34" s="103">
        <f>($D34-SUM($E34:N34))/2</f>
        <v>0</v>
      </c>
      <c r="P34" s="103">
        <f>($D34-SUM($E34:O34))/1</f>
        <v>0</v>
      </c>
      <c r="Q34" s="25">
        <f t="shared" si="1"/>
        <v>0</v>
      </c>
      <c r="R34" s="100">
        <f t="shared" si="2"/>
        <v>0</v>
      </c>
    </row>
    <row r="35" spans="1:30" s="83" customFormat="1" ht="13.5" thickBot="1" x14ac:dyDescent="0.25">
      <c r="A35" s="182"/>
      <c r="B35" s="183"/>
      <c r="C35" s="184">
        <v>0</v>
      </c>
      <c r="D35" s="185">
        <v>0</v>
      </c>
      <c r="E35" s="216">
        <v>0</v>
      </c>
      <c r="F35" s="104">
        <f>SUM($D35*8%)</f>
        <v>0</v>
      </c>
      <c r="G35" s="104">
        <f>SUM($D35*5%)</f>
        <v>0</v>
      </c>
      <c r="H35" s="104">
        <f>SUM($D35*9%)</f>
        <v>0</v>
      </c>
      <c r="I35" s="101">
        <f>$D35*8.5%</f>
        <v>0</v>
      </c>
      <c r="J35" s="101">
        <f>SUM($D35*9%)</f>
        <v>0</v>
      </c>
      <c r="K35" s="101">
        <f>SUM($D35*9%)</f>
        <v>0</v>
      </c>
      <c r="L35" s="101">
        <f>SUM($D35*9%)</f>
        <v>0</v>
      </c>
      <c r="M35" s="102">
        <f>SUM($D35*5%)</f>
        <v>0</v>
      </c>
      <c r="N35" s="102">
        <f>SUM($D35*6%)</f>
        <v>0</v>
      </c>
      <c r="O35" s="103">
        <f>SUM($D35*12.5%)</f>
        <v>0</v>
      </c>
      <c r="P35" s="103">
        <f>($D35-SUM($E35:O35))/1</f>
        <v>0</v>
      </c>
      <c r="Q35" s="81">
        <f t="shared" si="1"/>
        <v>0</v>
      </c>
      <c r="R35" s="100">
        <f t="shared" si="2"/>
        <v>0</v>
      </c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</row>
    <row r="36" spans="1:30" x14ac:dyDescent="0.2">
      <c r="I36" s="2"/>
    </row>
    <row r="37" spans="1:30" ht="13.5" thickBot="1" x14ac:dyDescent="0.25">
      <c r="A37" s="99" t="s">
        <v>100</v>
      </c>
      <c r="B37" s="186"/>
      <c r="C37" s="187"/>
      <c r="D37" s="187"/>
      <c r="E37" s="87"/>
      <c r="F37" s="87"/>
      <c r="G37" s="87"/>
      <c r="H37" s="87"/>
      <c r="I37" s="87"/>
      <c r="J37" s="87"/>
      <c r="K37" s="87"/>
      <c r="L37" s="87"/>
      <c r="M37" s="88"/>
      <c r="N37" s="88"/>
      <c r="O37" s="89"/>
      <c r="P37" s="90"/>
      <c r="Q37" s="25"/>
      <c r="R37" s="100"/>
    </row>
    <row r="38" spans="1:30" x14ac:dyDescent="0.2">
      <c r="A38" s="188">
        <v>6100</v>
      </c>
      <c r="B38" s="189" t="s">
        <v>131</v>
      </c>
      <c r="C38" s="190"/>
      <c r="D38" s="191"/>
      <c r="E38" s="216">
        <v>0</v>
      </c>
      <c r="F38" s="104">
        <f>($D38-SUM($E38:E38))/11</f>
        <v>0</v>
      </c>
      <c r="G38" s="104">
        <f>($D38-SUM($E38:F38))/10</f>
        <v>0</v>
      </c>
      <c r="H38" s="104">
        <f>($D38-SUM($E38:G38))/9</f>
        <v>0</v>
      </c>
      <c r="I38" s="101">
        <f>($D38-SUM($E38:H38))/8</f>
        <v>0</v>
      </c>
      <c r="J38" s="101">
        <f>($D38-SUM($E38:I38))/7</f>
        <v>0</v>
      </c>
      <c r="K38" s="101">
        <f>($D38-SUM($E38:J38))/6</f>
        <v>0</v>
      </c>
      <c r="L38" s="101">
        <f>($D38-SUM($E38:K38))/5</f>
        <v>0</v>
      </c>
      <c r="M38" s="101">
        <f>($D38-SUM($E38:L38))/4</f>
        <v>0</v>
      </c>
      <c r="N38" s="101">
        <f>($D38-SUM($E38:M38))/3</f>
        <v>0</v>
      </c>
      <c r="O38" s="103">
        <f>($D38-SUM($E38:N38))/2</f>
        <v>0</v>
      </c>
      <c r="P38" s="103">
        <f>($D38-SUM($E38:O38))/1</f>
        <v>0</v>
      </c>
      <c r="Q38" s="25">
        <f t="shared" ref="Q38:Q47" si="13">SUM(E38:P38)</f>
        <v>0</v>
      </c>
      <c r="R38" s="100">
        <f t="shared" ref="R38:R48" si="14">Q38-D38</f>
        <v>0</v>
      </c>
    </row>
    <row r="39" spans="1:30" x14ac:dyDescent="0.2">
      <c r="A39" s="179">
        <v>6124</v>
      </c>
      <c r="B39" s="49" t="s">
        <v>134</v>
      </c>
      <c r="C39" s="27">
        <v>11000</v>
      </c>
      <c r="D39" s="180">
        <f>C39</f>
        <v>11000</v>
      </c>
      <c r="E39" s="216">
        <v>0</v>
      </c>
      <c r="F39" s="104">
        <f>($D39-SUM($E39:E39))/11</f>
        <v>1000</v>
      </c>
      <c r="G39" s="104">
        <f>($D39-SUM($E39:F39))/10</f>
        <v>1000</v>
      </c>
      <c r="H39" s="104">
        <f>($D39-SUM($E39:G39))/9</f>
        <v>1000</v>
      </c>
      <c r="I39" s="101">
        <f>($D39-SUM($E39:H39))/8</f>
        <v>1000</v>
      </c>
      <c r="J39" s="101">
        <f>($D39-SUM($E39:I39))/7</f>
        <v>1000</v>
      </c>
      <c r="K39" s="101">
        <f>($D39-SUM($E39:J39))/6</f>
        <v>1000</v>
      </c>
      <c r="L39" s="101">
        <f>($D39-SUM($E39:K39))/5</f>
        <v>1000</v>
      </c>
      <c r="M39" s="101">
        <f>($D39-SUM($E39:L39))/4</f>
        <v>1000</v>
      </c>
      <c r="N39" s="101">
        <f>($D39-SUM($E39:M39))/3</f>
        <v>1000</v>
      </c>
      <c r="O39" s="103">
        <f>($D39-SUM($E39:N39))/2</f>
        <v>1000</v>
      </c>
      <c r="P39" s="103">
        <f>($D39-SUM($E39:O39))/1</f>
        <v>1000</v>
      </c>
      <c r="Q39" s="25">
        <f t="shared" si="13"/>
        <v>11000</v>
      </c>
      <c r="R39" s="100">
        <f t="shared" si="14"/>
        <v>0</v>
      </c>
    </row>
    <row r="40" spans="1:30" x14ac:dyDescent="0.2">
      <c r="A40" s="179">
        <v>6151</v>
      </c>
      <c r="B40" s="49" t="s">
        <v>16</v>
      </c>
      <c r="C40" s="27">
        <v>1170</v>
      </c>
      <c r="D40" s="180">
        <f t="shared" ref="D40:D41" si="15">C40</f>
        <v>1170</v>
      </c>
      <c r="E40" s="216">
        <v>0</v>
      </c>
      <c r="F40" s="104">
        <f>($D40-SUM($E40:E40))/11</f>
        <v>106.36363636363636</v>
      </c>
      <c r="G40" s="104">
        <f>($D40-SUM($E40:F40))/10</f>
        <v>106.36363636363637</v>
      </c>
      <c r="H40" s="104">
        <f>($D40-SUM($E40:G40))/9</f>
        <v>106.36363636363636</v>
      </c>
      <c r="I40" s="101">
        <f>($D40-SUM($E40:H40))/8</f>
        <v>106.36363636363636</v>
      </c>
      <c r="J40" s="101">
        <f>($D40-SUM($E40:I40))/7</f>
        <v>106.36363636363636</v>
      </c>
      <c r="K40" s="101">
        <f>($D40-SUM($E40:J40))/6</f>
        <v>106.36363636363636</v>
      </c>
      <c r="L40" s="101">
        <f>($D40-SUM($E40:K40))/5</f>
        <v>106.36363636363635</v>
      </c>
      <c r="M40" s="101">
        <f>($D40-SUM($E40:L40))/4</f>
        <v>106.36363636363635</v>
      </c>
      <c r="N40" s="101">
        <f>($D40-SUM($E40:M40))/3</f>
        <v>106.36363636363633</v>
      </c>
      <c r="O40" s="103">
        <f>($D40-SUM($E40:N40))/2</f>
        <v>106.36363636363632</v>
      </c>
      <c r="P40" s="103">
        <f>($D40-SUM($E40:O40))/1</f>
        <v>106.36363636363626</v>
      </c>
      <c r="Q40" s="25">
        <f t="shared" si="13"/>
        <v>1170</v>
      </c>
      <c r="R40" s="100">
        <f t="shared" si="14"/>
        <v>0</v>
      </c>
    </row>
    <row r="41" spans="1:30" x14ac:dyDescent="0.2">
      <c r="A41" s="179" t="s">
        <v>152</v>
      </c>
      <c r="B41" s="49" t="s">
        <v>33</v>
      </c>
      <c r="C41" s="27">
        <v>10000</v>
      </c>
      <c r="D41" s="180">
        <f t="shared" si="15"/>
        <v>10000</v>
      </c>
      <c r="E41" s="216">
        <v>0</v>
      </c>
      <c r="F41" s="104">
        <f>($D41-SUM($E41:E41))/11</f>
        <v>909.09090909090912</v>
      </c>
      <c r="G41" s="104">
        <f>($D41-SUM($E41:F41))/10</f>
        <v>909.09090909090901</v>
      </c>
      <c r="H41" s="104">
        <f>($D41-SUM($E41:G41))/9</f>
        <v>909.09090909090912</v>
      </c>
      <c r="I41" s="101">
        <f>($D41-SUM($E41:H41))/8</f>
        <v>909.09090909090912</v>
      </c>
      <c r="J41" s="101">
        <f>($D41-SUM($E41:I41))/7</f>
        <v>909.09090909090912</v>
      </c>
      <c r="K41" s="101">
        <f>($D41-SUM($E41:J41))/6</f>
        <v>909.09090909090912</v>
      </c>
      <c r="L41" s="101">
        <f>($D41-SUM($E41:K41))/5</f>
        <v>909.09090909090924</v>
      </c>
      <c r="M41" s="101">
        <f>($D41-SUM($E41:L41))/4</f>
        <v>909.09090909090924</v>
      </c>
      <c r="N41" s="101">
        <f>($D41-SUM($E41:M41))/3</f>
        <v>909.09090909090935</v>
      </c>
      <c r="O41" s="103">
        <f>($D41-SUM($E41:N41))/2</f>
        <v>909.09090909090946</v>
      </c>
      <c r="P41" s="103">
        <f>($D41-SUM($E41:O41))/1</f>
        <v>909.09090909090992</v>
      </c>
      <c r="Q41" s="25">
        <f t="shared" si="13"/>
        <v>10000</v>
      </c>
      <c r="R41" s="100">
        <f t="shared" si="14"/>
        <v>0</v>
      </c>
    </row>
    <row r="42" spans="1:30" x14ac:dyDescent="0.2">
      <c r="A42" s="179" t="s">
        <v>151</v>
      </c>
      <c r="B42" s="49" t="s">
        <v>153</v>
      </c>
      <c r="C42" s="27"/>
      <c r="D42" s="180"/>
      <c r="E42" s="216">
        <v>0</v>
      </c>
      <c r="F42" s="104">
        <f>($D42-SUM($E42:E42))/11</f>
        <v>0</v>
      </c>
      <c r="G42" s="104">
        <f>($D42-SUM($E42:F42))/10</f>
        <v>0</v>
      </c>
      <c r="H42" s="104">
        <f>($D42-SUM($E42:G42))/9</f>
        <v>0</v>
      </c>
      <c r="I42" s="101">
        <f>($D42-SUM($E42:H42))/8</f>
        <v>0</v>
      </c>
      <c r="J42" s="101">
        <f>($D42-SUM($E42:I42))/7</f>
        <v>0</v>
      </c>
      <c r="K42" s="101">
        <f>($D42-SUM($E42:J42))/6</f>
        <v>0</v>
      </c>
      <c r="L42" s="101">
        <f>($D42-SUM($E42:K42))/5</f>
        <v>0</v>
      </c>
      <c r="M42" s="101">
        <f>($D42-SUM($E42:L42))/4</f>
        <v>0</v>
      </c>
      <c r="N42" s="101">
        <f>($D42-SUM($E42:M42))/3</f>
        <v>0</v>
      </c>
      <c r="O42" s="103">
        <f>($D42-SUM($E42:N42))/2</f>
        <v>0</v>
      </c>
      <c r="P42" s="103">
        <f>($D42-SUM($E42:O42))/1</f>
        <v>0</v>
      </c>
      <c r="Q42" s="25">
        <f t="shared" si="13"/>
        <v>0</v>
      </c>
      <c r="R42" s="100">
        <f t="shared" si="14"/>
        <v>0</v>
      </c>
    </row>
    <row r="43" spans="1:30" x14ac:dyDescent="0.2">
      <c r="A43" s="179"/>
      <c r="B43" s="49"/>
      <c r="C43" s="27"/>
      <c r="D43" s="180">
        <v>0</v>
      </c>
      <c r="E43" s="216">
        <v>0</v>
      </c>
      <c r="F43" s="104">
        <f>($D43-SUM($E43:E43))/11</f>
        <v>0</v>
      </c>
      <c r="G43" s="104">
        <f>($D43-SUM($E43:F43))/10</f>
        <v>0</v>
      </c>
      <c r="H43" s="104">
        <f>($D43-SUM($E43:G43))/9</f>
        <v>0</v>
      </c>
      <c r="I43" s="101">
        <f>($D43-SUM($E43:H43))/8</f>
        <v>0</v>
      </c>
      <c r="J43" s="101">
        <f>($D43-SUM($E43:I43))/7</f>
        <v>0</v>
      </c>
      <c r="K43" s="101">
        <f>($D43-SUM($E43:J43))/6</f>
        <v>0</v>
      </c>
      <c r="L43" s="101">
        <f>($D43-SUM($E43:K43))/5</f>
        <v>0</v>
      </c>
      <c r="M43" s="101">
        <f>($D43-SUM($E43:L43))/4</f>
        <v>0</v>
      </c>
      <c r="N43" s="101">
        <f>($D43-SUM($E43:M43))/3</f>
        <v>0</v>
      </c>
      <c r="O43" s="103">
        <f>($D43-SUM($E43:N43))/2</f>
        <v>0</v>
      </c>
      <c r="P43" s="103">
        <f>($D43-SUM($E43:O43))/1</f>
        <v>0</v>
      </c>
      <c r="Q43" s="25">
        <f t="shared" si="13"/>
        <v>0</v>
      </c>
      <c r="R43" s="100">
        <f t="shared" si="14"/>
        <v>0</v>
      </c>
    </row>
    <row r="44" spans="1:30" x14ac:dyDescent="0.2">
      <c r="A44" s="179">
        <v>6189</v>
      </c>
      <c r="B44" s="49" t="s">
        <v>89</v>
      </c>
      <c r="C44" s="80"/>
      <c r="D44" s="180">
        <v>0</v>
      </c>
      <c r="E44" s="216">
        <v>0</v>
      </c>
      <c r="F44" s="104">
        <f>($D44-SUM($E44:E44))/11</f>
        <v>0</v>
      </c>
      <c r="G44" s="104">
        <f>($D44-SUM($E44:F44))/10</f>
        <v>0</v>
      </c>
      <c r="H44" s="104">
        <f>($D44-SUM($E44:G44))/9</f>
        <v>0</v>
      </c>
      <c r="I44" s="101">
        <f>($D44-SUM($E44:H44))/8</f>
        <v>0</v>
      </c>
      <c r="J44" s="101">
        <f>($D44-SUM($E44:I44))/7</f>
        <v>0</v>
      </c>
      <c r="K44" s="101">
        <f>($D44-SUM($E44:J44))/6</f>
        <v>0</v>
      </c>
      <c r="L44" s="101">
        <f>($D44-SUM($E44:K44))/5</f>
        <v>0</v>
      </c>
      <c r="M44" s="101">
        <f>($D44-SUM($E44:L44))/4</f>
        <v>0</v>
      </c>
      <c r="N44" s="101">
        <f>($D44-SUM($E44:M44))/3</f>
        <v>0</v>
      </c>
      <c r="O44" s="103">
        <f>($D44-SUM($E44:N44))/2</f>
        <v>0</v>
      </c>
      <c r="P44" s="103">
        <f>($D44-SUM($E44:O44))/1</f>
        <v>0</v>
      </c>
      <c r="Q44" s="25">
        <f t="shared" si="13"/>
        <v>0</v>
      </c>
      <c r="R44" s="100">
        <f t="shared" si="14"/>
        <v>0</v>
      </c>
    </row>
    <row r="45" spans="1:30" x14ac:dyDescent="0.2">
      <c r="A45" s="179">
        <v>6198</v>
      </c>
      <c r="B45" s="49" t="s">
        <v>41</v>
      </c>
      <c r="C45" s="27">
        <v>27000</v>
      </c>
      <c r="D45" s="180">
        <f>C45</f>
        <v>27000</v>
      </c>
      <c r="E45" s="216">
        <v>0</v>
      </c>
      <c r="F45" s="104">
        <f>($D45-SUM($E45:E45))/11</f>
        <v>2454.5454545454545</v>
      </c>
      <c r="G45" s="104">
        <f>($D45-SUM($E45:F45))/10</f>
        <v>2454.5454545454545</v>
      </c>
      <c r="H45" s="104">
        <f>($D45-SUM($E45:G45))/9</f>
        <v>2454.5454545454545</v>
      </c>
      <c r="I45" s="101">
        <f>($D45-SUM($E45:H45))/8</f>
        <v>2454.5454545454545</v>
      </c>
      <c r="J45" s="101">
        <f>($D45-SUM($E45:I45))/7</f>
        <v>2454.545454545455</v>
      </c>
      <c r="K45" s="101">
        <f>($D45-SUM($E45:J45))/6</f>
        <v>2454.5454545454545</v>
      </c>
      <c r="L45" s="101">
        <f>($D45-SUM($E45:K45))/5</f>
        <v>2454.545454545455</v>
      </c>
      <c r="M45" s="101">
        <f>($D45-SUM($E45:L45))/4</f>
        <v>2454.545454545455</v>
      </c>
      <c r="N45" s="101">
        <f>($D45-SUM($E45:M45))/3</f>
        <v>2454.5454545454545</v>
      </c>
      <c r="O45" s="103">
        <f>($D45-SUM($E45:N45))/2</f>
        <v>2454.545454545454</v>
      </c>
      <c r="P45" s="103">
        <f>($D45-SUM($E45:O45))/1</f>
        <v>2454.5454545454559</v>
      </c>
      <c r="Q45" s="25">
        <f t="shared" si="13"/>
        <v>27000</v>
      </c>
      <c r="R45" s="100">
        <f t="shared" si="14"/>
        <v>0</v>
      </c>
    </row>
    <row r="46" spans="1:30" x14ac:dyDescent="0.2">
      <c r="A46" s="179" t="s">
        <v>40</v>
      </c>
      <c r="B46" s="49" t="s">
        <v>119</v>
      </c>
      <c r="C46" s="27">
        <v>0</v>
      </c>
      <c r="D46" s="180">
        <f t="shared" ref="D46:D47" si="16">C46</f>
        <v>0</v>
      </c>
      <c r="E46" s="216">
        <v>0</v>
      </c>
      <c r="F46" s="104">
        <f>($D46-SUM($E46:E46))/11</f>
        <v>0</v>
      </c>
      <c r="G46" s="104">
        <f>($D46-SUM($E46:F46))/10</f>
        <v>0</v>
      </c>
      <c r="H46" s="104">
        <f>($D46-SUM($E46:G46))/9</f>
        <v>0</v>
      </c>
      <c r="I46" s="101">
        <f>($D46-SUM($E46:H46))/8</f>
        <v>0</v>
      </c>
      <c r="J46" s="101">
        <f>($D46-SUM($E46:I46))/7</f>
        <v>0</v>
      </c>
      <c r="K46" s="101">
        <f>($D46-SUM($E46:J46))/6</f>
        <v>0</v>
      </c>
      <c r="L46" s="101">
        <f>($D46-SUM($E46:K46))/5</f>
        <v>0</v>
      </c>
      <c r="M46" s="101">
        <f>($D46-SUM($E46:L46))/4</f>
        <v>0</v>
      </c>
      <c r="N46" s="101">
        <f>($D46-SUM($E46:M46))/3</f>
        <v>0</v>
      </c>
      <c r="O46" s="103">
        <f>($D46-SUM($E46:N46))/2</f>
        <v>0</v>
      </c>
      <c r="P46" s="103">
        <f>($D46-SUM($E46:O46))/1</f>
        <v>0</v>
      </c>
      <c r="Q46" s="25">
        <f t="shared" si="13"/>
        <v>0</v>
      </c>
      <c r="R46" s="100">
        <f t="shared" si="14"/>
        <v>0</v>
      </c>
    </row>
    <row r="47" spans="1:30" ht="13.5" thickBot="1" x14ac:dyDescent="0.25">
      <c r="A47" s="179" t="s">
        <v>139</v>
      </c>
      <c r="B47" s="49" t="s">
        <v>11</v>
      </c>
      <c r="C47" s="27">
        <v>11800</v>
      </c>
      <c r="D47" s="180">
        <f t="shared" si="16"/>
        <v>11800</v>
      </c>
      <c r="E47" s="216">
        <v>0</v>
      </c>
      <c r="F47" s="104">
        <f>($D47-SUM($E47:E47))/11</f>
        <v>1072.7272727272727</v>
      </c>
      <c r="G47" s="104">
        <f>($D47-SUM($E47:F47))/10</f>
        <v>1072.7272727272727</v>
      </c>
      <c r="H47" s="104">
        <f>($D47-SUM($E47:G47))/9</f>
        <v>1072.7272727272727</v>
      </c>
      <c r="I47" s="101">
        <f>($D47-SUM($E47:H47))/8</f>
        <v>1072.7272727272727</v>
      </c>
      <c r="J47" s="101">
        <f>($D47-SUM($E47:I47))/7</f>
        <v>1072.7272727272727</v>
      </c>
      <c r="K47" s="101">
        <f>($D47-SUM($E47:J47))/6</f>
        <v>1072.7272727272727</v>
      </c>
      <c r="L47" s="101">
        <f>($D47-SUM($E47:K47))/5</f>
        <v>1072.7272727272725</v>
      </c>
      <c r="M47" s="101">
        <f>($D47-SUM($E47:L47))/4</f>
        <v>1072.7272727272725</v>
      </c>
      <c r="N47" s="101">
        <f>($D47-SUM($E47:M47))/3</f>
        <v>1072.7272727272727</v>
      </c>
      <c r="O47" s="103">
        <f>($D47-SUM($E47:N47))/2</f>
        <v>1072.727272727273</v>
      </c>
      <c r="P47" s="103">
        <f>($D47-SUM($E47:O47))/1</f>
        <v>1072.7272727272721</v>
      </c>
      <c r="Q47" s="25">
        <f t="shared" si="13"/>
        <v>11800</v>
      </c>
      <c r="R47" s="100">
        <f t="shared" si="14"/>
        <v>0</v>
      </c>
    </row>
    <row r="48" spans="1:30" s="2" customFormat="1" ht="13.5" thickBot="1" x14ac:dyDescent="0.25">
      <c r="A48" s="204" t="s">
        <v>146</v>
      </c>
      <c r="B48" s="205" t="s">
        <v>88</v>
      </c>
      <c r="C48" s="208">
        <f>SUM(C9:C47)</f>
        <v>2487790</v>
      </c>
      <c r="D48" s="209">
        <f>SUM(D9:D47)</f>
        <v>2487790</v>
      </c>
      <c r="E48" s="217">
        <f>SUM(E9:E47)</f>
        <v>218274.88</v>
      </c>
      <c r="F48" s="8">
        <f>SUM(F9:F47)</f>
        <v>199747.23636363636</v>
      </c>
      <c r="G48" s="8">
        <f>SUM(G9:G47)</f>
        <v>127104.63636363638</v>
      </c>
      <c r="H48" s="8">
        <f>SUM(H9:H47)</f>
        <v>223961.43636363634</v>
      </c>
      <c r="I48" s="9">
        <f>SUM(I9:I47)</f>
        <v>211854.33636363634</v>
      </c>
      <c r="J48" s="9">
        <f>SUM(J9:J47)</f>
        <v>223961.43636363634</v>
      </c>
      <c r="K48" s="9">
        <f>SUM(K9:K47)</f>
        <v>223961.43636363634</v>
      </c>
      <c r="L48" s="9">
        <f>SUM(L9:L47)</f>
        <v>223961.43636363634</v>
      </c>
      <c r="M48" s="10">
        <f>SUM(M9:M47)</f>
        <v>127104.63636363638</v>
      </c>
      <c r="N48" s="10">
        <f>SUM(N9:N47)</f>
        <v>151318.83636363634</v>
      </c>
      <c r="O48" s="10">
        <f>SUM(O9:O47)</f>
        <v>308711.13636363635</v>
      </c>
      <c r="P48" s="10">
        <f>SUM(P9:P47)</f>
        <v>247828.55636363654</v>
      </c>
      <c r="Q48"/>
      <c r="R48" s="100">
        <f t="shared" si="14"/>
        <v>-2487790</v>
      </c>
      <c r="S48"/>
      <c r="T48"/>
      <c r="U48"/>
      <c r="V48"/>
      <c r="W48"/>
      <c r="X48"/>
      <c r="Y48"/>
      <c r="Z48"/>
      <c r="AA48"/>
      <c r="AB48"/>
      <c r="AC48"/>
      <c r="AD48"/>
    </row>
    <row r="49" spans="1:30" ht="13.5" thickBot="1" x14ac:dyDescent="0.25">
      <c r="A49" s="35"/>
      <c r="B49" s="35"/>
      <c r="C49" s="5"/>
      <c r="D49" s="28"/>
      <c r="E49" s="95" t="s">
        <v>109</v>
      </c>
      <c r="F49" s="11"/>
      <c r="G49" s="11"/>
      <c r="H49" s="11"/>
      <c r="I49" s="12"/>
      <c r="J49" s="12"/>
      <c r="K49" s="12"/>
      <c r="L49" s="12"/>
      <c r="M49" s="13"/>
      <c r="N49" s="13"/>
      <c r="O49" s="13"/>
      <c r="P49" s="13"/>
      <c r="R49" s="100"/>
    </row>
    <row r="50" spans="1:30" x14ac:dyDescent="0.2">
      <c r="A50" s="194" t="s">
        <v>99</v>
      </c>
      <c r="B50" s="195"/>
      <c r="C50" s="157"/>
      <c r="D50" s="158"/>
      <c r="E50" s="96">
        <v>2.9600000000000001E-2</v>
      </c>
      <c r="F50" s="96">
        <v>0.26029999999999998</v>
      </c>
      <c r="G50" s="96">
        <v>7.5700000000000003E-2</v>
      </c>
      <c r="H50" s="96">
        <v>7.1000000000000004E-3</v>
      </c>
      <c r="I50" s="97">
        <v>4.1999999999999997E-3</v>
      </c>
      <c r="J50" s="97">
        <v>1.26E-2</v>
      </c>
      <c r="K50" s="97">
        <v>8.77E-2</v>
      </c>
      <c r="L50" s="97">
        <v>0.37619999999999998</v>
      </c>
      <c r="M50" s="97">
        <v>0.12570000000000001</v>
      </c>
      <c r="N50" s="97">
        <v>1.03E-2</v>
      </c>
      <c r="O50" s="97">
        <v>6.0000000000000001E-3</v>
      </c>
      <c r="P50" s="98">
        <v>4.5999999999999999E-3</v>
      </c>
      <c r="R50" s="100"/>
    </row>
    <row r="51" spans="1:30" customFormat="1" x14ac:dyDescent="0.2">
      <c r="A51" s="161" t="s">
        <v>47</v>
      </c>
      <c r="B51" s="84" t="s">
        <v>66</v>
      </c>
      <c r="C51" s="31"/>
      <c r="D51" s="171"/>
      <c r="E51" s="216">
        <v>0</v>
      </c>
      <c r="F51" s="104">
        <f>($D51-SUM($E51:E51))/11</f>
        <v>0</v>
      </c>
      <c r="G51" s="104">
        <f>($D51-SUM($E51:F51))/10</f>
        <v>0</v>
      </c>
      <c r="H51" s="101">
        <v>0</v>
      </c>
      <c r="I51" s="102">
        <v>0</v>
      </c>
      <c r="J51" s="102">
        <f>D51*0.5</f>
        <v>0</v>
      </c>
      <c r="K51" s="102">
        <v>0</v>
      </c>
      <c r="L51" s="102">
        <v>0</v>
      </c>
      <c r="M51" s="102">
        <v>0</v>
      </c>
      <c r="N51" s="102">
        <v>0</v>
      </c>
      <c r="O51" s="105">
        <v>0</v>
      </c>
      <c r="P51" s="105">
        <f>D51-SUM(E51:O51)</f>
        <v>0</v>
      </c>
      <c r="Q51" s="25">
        <f t="shared" ref="Q51:Q60" si="17">SUM(E51:P51)</f>
        <v>0</v>
      </c>
      <c r="R51" s="100">
        <f t="shared" ref="R51:R60" si="18">Q51-D51</f>
        <v>0</v>
      </c>
    </row>
    <row r="52" spans="1:30" x14ac:dyDescent="0.2">
      <c r="A52" s="161" t="s">
        <v>67</v>
      </c>
      <c r="B52" s="49" t="s">
        <v>68</v>
      </c>
      <c r="C52" s="31">
        <v>10000</v>
      </c>
      <c r="D52" s="171">
        <v>10000</v>
      </c>
      <c r="E52" s="216">
        <v>1966.91</v>
      </c>
      <c r="F52" s="104">
        <f>($D52-SUM($E52:E52))/11</f>
        <v>730.28090909090906</v>
      </c>
      <c r="G52" s="104">
        <f>($D52-SUM($E52:F52))/10</f>
        <v>730.28090909090906</v>
      </c>
      <c r="H52" s="101">
        <f>($D52-SUM($E52:G52))/9</f>
        <v>730.28090909090906</v>
      </c>
      <c r="I52" s="101">
        <f>($D52-SUM($E52:H52))/8</f>
        <v>730.28090909090906</v>
      </c>
      <c r="J52" s="101">
        <f>($D52-SUM($E52:I52))/7</f>
        <v>730.28090909090918</v>
      </c>
      <c r="K52" s="101">
        <f>($D52-SUM($E52:J52))/6</f>
        <v>730.28090909090906</v>
      </c>
      <c r="L52" s="101">
        <f>($D52-SUM($E52:K52))/5</f>
        <v>730.28090909090895</v>
      </c>
      <c r="M52" s="101">
        <f>($D52-SUM($E52:L52))/4</f>
        <v>730.28090909090906</v>
      </c>
      <c r="N52" s="101">
        <f>($D52-SUM($E52:M52))/3</f>
        <v>730.28090909090918</v>
      </c>
      <c r="O52" s="105">
        <f>($D52-SUM($E52:N52))/2</f>
        <v>730.28090909090952</v>
      </c>
      <c r="P52" s="105">
        <f>($D52-SUM($E52:O52))/1</f>
        <v>730.28090909091043</v>
      </c>
      <c r="Q52" s="25">
        <f t="shared" si="17"/>
        <v>10000</v>
      </c>
      <c r="R52" s="100">
        <f t="shared" si="18"/>
        <v>0</v>
      </c>
    </row>
    <row r="53" spans="1:30" ht="15.75" customHeight="1" x14ac:dyDescent="0.2">
      <c r="A53" s="163" t="s">
        <v>90</v>
      </c>
      <c r="B53" s="62" t="s">
        <v>91</v>
      </c>
      <c r="C53" s="31"/>
      <c r="D53" s="171">
        <v>0</v>
      </c>
      <c r="E53" s="216">
        <v>0</v>
      </c>
      <c r="F53" s="104">
        <f>($D53-SUM($E53:E53))/11</f>
        <v>0</v>
      </c>
      <c r="G53" s="104">
        <f>($D53-SUM($E53:F53))/10</f>
        <v>0</v>
      </c>
      <c r="H53" s="101">
        <f>($D53-SUM($E53:G53))/9</f>
        <v>0</v>
      </c>
      <c r="I53" s="102">
        <f>($D53-SUM($E53:H53))/8</f>
        <v>0</v>
      </c>
      <c r="J53" s="102">
        <f>($D53-SUM($E53:I53))/7</f>
        <v>0</v>
      </c>
      <c r="K53" s="102">
        <f>($D53-SUM($E53:J53))/6</f>
        <v>0</v>
      </c>
      <c r="L53" s="102">
        <f>($D53-SUM($E53:K53))/5</f>
        <v>0</v>
      </c>
      <c r="M53" s="102">
        <f>($D53-SUM($E53:L53))/4</f>
        <v>0</v>
      </c>
      <c r="N53" s="102">
        <f>($D53-SUM($E53:M53))/3</f>
        <v>0</v>
      </c>
      <c r="O53" s="105">
        <f>($D53-SUM($E53:N53))/2</f>
        <v>0</v>
      </c>
      <c r="P53" s="105">
        <f>($D53-SUM($E53:O53))/1</f>
        <v>0</v>
      </c>
      <c r="Q53" s="25">
        <f t="shared" si="17"/>
        <v>0</v>
      </c>
      <c r="R53" s="100">
        <f t="shared" si="18"/>
        <v>0</v>
      </c>
    </row>
    <row r="54" spans="1:30" x14ac:dyDescent="0.2">
      <c r="A54" s="161" t="s">
        <v>44</v>
      </c>
      <c r="B54" s="49" t="s">
        <v>69</v>
      </c>
      <c r="C54" s="31">
        <v>6700</v>
      </c>
      <c r="D54" s="171">
        <v>6700</v>
      </c>
      <c r="E54" s="216">
        <f>802.52-250.47</f>
        <v>552.04999999999995</v>
      </c>
      <c r="F54" s="104">
        <f>($D54-SUM($E54:E54))/11</f>
        <v>558.90454545454543</v>
      </c>
      <c r="G54" s="104">
        <f>($D54-SUM($E54:F54))/10</f>
        <v>558.90454545454543</v>
      </c>
      <c r="H54" s="101">
        <f>($D54-SUM($E54:G54))/9</f>
        <v>558.90454545454543</v>
      </c>
      <c r="I54" s="101">
        <f>($D54-SUM($E54:H54))/8</f>
        <v>558.90454545454554</v>
      </c>
      <c r="J54" s="101">
        <f>($D54-SUM($E54:I54))/7</f>
        <v>558.90454545454554</v>
      </c>
      <c r="K54" s="101">
        <f>($D54-SUM($E54:J54))/6</f>
        <v>558.90454545454543</v>
      </c>
      <c r="L54" s="101">
        <f>($D54-SUM($E54:K54))/5</f>
        <v>558.90454545454554</v>
      </c>
      <c r="M54" s="101">
        <f>($D54-SUM($E54:L54))/4</f>
        <v>558.90454545454554</v>
      </c>
      <c r="N54" s="101">
        <f>($D54-SUM($E54:M54))/3</f>
        <v>558.90454545454543</v>
      </c>
      <c r="O54" s="105">
        <f>($D54-SUM($E54:N54))/2</f>
        <v>558.90454545454531</v>
      </c>
      <c r="P54" s="105">
        <f>($D54-SUM($E54:O54))/1</f>
        <v>558.90454545454486</v>
      </c>
      <c r="Q54" s="25">
        <f t="shared" si="17"/>
        <v>6700</v>
      </c>
      <c r="R54" s="100">
        <f t="shared" si="18"/>
        <v>0</v>
      </c>
    </row>
    <row r="55" spans="1:30" x14ac:dyDescent="0.2">
      <c r="A55" s="213">
        <v>4300</v>
      </c>
      <c r="B55" s="49"/>
      <c r="C55" s="31"/>
      <c r="D55" s="171"/>
      <c r="E55" s="216">
        <v>0</v>
      </c>
      <c r="F55" s="104">
        <f>($D55-SUM($E55:E55))/11</f>
        <v>0</v>
      </c>
      <c r="G55" s="104">
        <f>($D55-SUM($E55:F55))/10</f>
        <v>0</v>
      </c>
      <c r="H55" s="101">
        <f>($D55-SUM($E55:G55))/9</f>
        <v>0</v>
      </c>
      <c r="I55" s="101">
        <f>($D55-SUM($E55:H55))/8</f>
        <v>0</v>
      </c>
      <c r="J55" s="101">
        <f>($D55-SUM($E55:I55))/7</f>
        <v>0</v>
      </c>
      <c r="K55" s="101">
        <f>($D55-SUM($E55:J55))/6</f>
        <v>0</v>
      </c>
      <c r="L55" s="101">
        <f>($D55-SUM($E55:K55))/5</f>
        <v>0</v>
      </c>
      <c r="M55" s="101">
        <f>($D55-SUM($E55:L55))/4</f>
        <v>0</v>
      </c>
      <c r="N55" s="101">
        <f>($D55-SUM($E55:M55))/3</f>
        <v>0</v>
      </c>
      <c r="O55" s="105">
        <f>($D55-SUM($E55:N55))/2</f>
        <v>0</v>
      </c>
      <c r="P55" s="105">
        <f>($D55-SUM($E55:O55))/1</f>
        <v>0</v>
      </c>
      <c r="Q55" s="25">
        <f t="shared" si="17"/>
        <v>0</v>
      </c>
      <c r="R55" s="100">
        <f t="shared" si="18"/>
        <v>0</v>
      </c>
    </row>
    <row r="56" spans="1:30" x14ac:dyDescent="0.2">
      <c r="A56" s="213" t="s">
        <v>155</v>
      </c>
      <c r="B56" s="49" t="s">
        <v>147</v>
      </c>
      <c r="C56" s="31"/>
      <c r="D56" s="171"/>
      <c r="E56" s="216">
        <f t="shared" ref="E56" si="19">($D56)/12</f>
        <v>0</v>
      </c>
      <c r="F56" s="104">
        <f>($D56-SUM($E56:E56))/11</f>
        <v>0</v>
      </c>
      <c r="G56" s="104">
        <f>($D56-SUM($E56:F56))/10</f>
        <v>0</v>
      </c>
      <c r="H56" s="101">
        <f>($D56-SUM($E56:G56))/9</f>
        <v>0</v>
      </c>
      <c r="I56" s="101">
        <f>($D56-SUM($E56:H56))/8</f>
        <v>0</v>
      </c>
      <c r="J56" s="101">
        <f>($D56-SUM($E56:I56))/7</f>
        <v>0</v>
      </c>
      <c r="K56" s="101">
        <f>($D56-SUM($E56:J56))/6</f>
        <v>0</v>
      </c>
      <c r="L56" s="101">
        <f>($D56-SUM($E56:K56))/5</f>
        <v>0</v>
      </c>
      <c r="M56" s="101">
        <f>($D56-SUM($E56:L56))/4</f>
        <v>0</v>
      </c>
      <c r="N56" s="101">
        <f>($D56-SUM($E56:M56))/3</f>
        <v>0</v>
      </c>
      <c r="O56" s="105">
        <f>($D56-SUM($E56:N56))/2</f>
        <v>0</v>
      </c>
      <c r="P56" s="105">
        <f>($D56-SUM($E56:O56))/1</f>
        <v>0</v>
      </c>
      <c r="Q56" s="25">
        <f t="shared" si="17"/>
        <v>0</v>
      </c>
      <c r="R56" s="100">
        <f t="shared" si="18"/>
        <v>0</v>
      </c>
    </row>
    <row r="57" spans="1:30" x14ac:dyDescent="0.2">
      <c r="A57" s="161" t="s">
        <v>70</v>
      </c>
      <c r="B57" s="49" t="s">
        <v>71</v>
      </c>
      <c r="C57" s="31"/>
      <c r="D57" s="171">
        <v>0</v>
      </c>
      <c r="E57" s="216">
        <f>($D57)/12</f>
        <v>0</v>
      </c>
      <c r="F57" s="104">
        <f>($D57-SUM($E57:E57))/11</f>
        <v>0</v>
      </c>
      <c r="G57" s="104">
        <f>($D57-SUM($E57:F57))/10</f>
        <v>0</v>
      </c>
      <c r="H57" s="101">
        <f>($D57-SUM($E57:G57))/9</f>
        <v>0</v>
      </c>
      <c r="I57" s="101">
        <f>($D57-SUM($E57:H57))/8</f>
        <v>0</v>
      </c>
      <c r="J57" s="101">
        <f>($D57-SUM($E57:I57))/7</f>
        <v>0</v>
      </c>
      <c r="K57" s="101">
        <f>($D57-SUM($E57:J57))/6</f>
        <v>0</v>
      </c>
      <c r="L57" s="101">
        <f>($D57-SUM($E57:K57))/5</f>
        <v>0</v>
      </c>
      <c r="M57" s="101">
        <f>($D57-SUM($E57:L57))/4</f>
        <v>0</v>
      </c>
      <c r="N57" s="101">
        <f>($D57-SUM($E57:M57))/3</f>
        <v>0</v>
      </c>
      <c r="O57" s="105">
        <f>($D57-SUM($E57:N57))/2</f>
        <v>0</v>
      </c>
      <c r="P57" s="105">
        <f>($D57-SUM($E57:O57))/1</f>
        <v>0</v>
      </c>
      <c r="Q57" s="25">
        <f t="shared" si="17"/>
        <v>0</v>
      </c>
      <c r="R57" s="100">
        <f t="shared" si="18"/>
        <v>0</v>
      </c>
    </row>
    <row r="58" spans="1:30" x14ac:dyDescent="0.2">
      <c r="A58" s="161"/>
      <c r="B58" s="49" t="s">
        <v>72</v>
      </c>
      <c r="C58" s="31"/>
      <c r="D58" s="171"/>
      <c r="E58" s="218"/>
      <c r="F58" s="107"/>
      <c r="G58" s="101"/>
      <c r="H58" s="101"/>
      <c r="I58" s="102"/>
      <c r="J58" s="102"/>
      <c r="K58" s="102"/>
      <c r="L58" s="102"/>
      <c r="M58" s="102"/>
      <c r="N58" s="102"/>
      <c r="O58" s="102"/>
      <c r="P58" s="102"/>
      <c r="Q58" s="25">
        <f t="shared" si="17"/>
        <v>0</v>
      </c>
      <c r="R58" s="100">
        <f t="shared" si="18"/>
        <v>0</v>
      </c>
    </row>
    <row r="59" spans="1:30" ht="13.5" thickBot="1" x14ac:dyDescent="0.25">
      <c r="A59" s="163" t="s">
        <v>112</v>
      </c>
      <c r="B59" s="62" t="s">
        <v>113</v>
      </c>
      <c r="C59" s="31">
        <v>3000</v>
      </c>
      <c r="D59" s="171">
        <v>3000</v>
      </c>
      <c r="E59" s="219"/>
      <c r="F59" s="106"/>
      <c r="G59" s="101"/>
      <c r="H59" s="101"/>
      <c r="I59" s="102"/>
      <c r="J59" s="102"/>
      <c r="K59" s="102"/>
      <c r="L59" s="102"/>
      <c r="M59" s="102"/>
      <c r="N59" s="102"/>
      <c r="O59" s="102"/>
      <c r="P59" s="102">
        <f>D59</f>
        <v>3000</v>
      </c>
      <c r="Q59" s="25">
        <f t="shared" si="17"/>
        <v>3000</v>
      </c>
      <c r="R59" s="100">
        <f t="shared" si="18"/>
        <v>0</v>
      </c>
    </row>
    <row r="60" spans="1:30" ht="13.5" thickBot="1" x14ac:dyDescent="0.25">
      <c r="A60" s="204" t="s">
        <v>0</v>
      </c>
      <c r="B60" s="205" t="s">
        <v>87</v>
      </c>
      <c r="C60" s="206">
        <f>SUM(C48:C59)</f>
        <v>2507490</v>
      </c>
      <c r="D60" s="207">
        <f>SUM(D48:D59)</f>
        <v>2507490</v>
      </c>
      <c r="E60" s="220">
        <f>SUM(E51:E59)+E48</f>
        <v>220793.84</v>
      </c>
      <c r="F60" s="146">
        <f>SUM(F51:F59)+F48</f>
        <v>201036.42181818181</v>
      </c>
      <c r="G60" s="146">
        <f>SUM(G51:G59)+G48</f>
        <v>128393.82181818184</v>
      </c>
      <c r="H60" s="146">
        <f>SUM(H51:H59)+H48</f>
        <v>225250.6218181818</v>
      </c>
      <c r="I60" s="146">
        <f>SUM(I51:I59)+I48</f>
        <v>213143.52181818179</v>
      </c>
      <c r="J60" s="146">
        <f>SUM(J51:J59)+J48</f>
        <v>225250.6218181818</v>
      </c>
      <c r="K60" s="146">
        <f>SUM(K51:K59)+K48</f>
        <v>225250.6218181818</v>
      </c>
      <c r="L60" s="146">
        <f>SUM(L51:L59)+L48</f>
        <v>225250.6218181818</v>
      </c>
      <c r="M60" s="146">
        <f>SUM(M51:M59)+M48</f>
        <v>128393.82181818184</v>
      </c>
      <c r="N60" s="146">
        <f>SUM(N51:N59)+N48</f>
        <v>152608.02181818179</v>
      </c>
      <c r="O60" s="146">
        <f>SUM(O51:O59)+O48</f>
        <v>310000.32181818178</v>
      </c>
      <c r="P60" s="146">
        <f>SUM(P51:P59)+P48</f>
        <v>252117.741818182</v>
      </c>
      <c r="Q60" s="25">
        <f t="shared" si="17"/>
        <v>2507490</v>
      </c>
      <c r="R60" s="100">
        <f t="shared" si="18"/>
        <v>0</v>
      </c>
    </row>
    <row r="61" spans="1:30" s="134" customFormat="1" ht="19.5" thickBot="1" x14ac:dyDescent="0.35">
      <c r="B61" s="137"/>
      <c r="C61" s="138"/>
      <c r="D61" s="138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5"/>
      <c r="R61" s="136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1:30" x14ac:dyDescent="0.2">
      <c r="A62" s="164" t="s">
        <v>18</v>
      </c>
      <c r="B62" s="165"/>
      <c r="C62" s="166" t="s">
        <v>6</v>
      </c>
      <c r="D62" s="167" t="s">
        <v>43</v>
      </c>
      <c r="E62" s="223" t="s">
        <v>7</v>
      </c>
      <c r="F62" s="147" t="s">
        <v>8</v>
      </c>
      <c r="G62" s="147" t="s">
        <v>9</v>
      </c>
      <c r="H62" s="147" t="s">
        <v>10</v>
      </c>
      <c r="I62" s="147" t="s">
        <v>2</v>
      </c>
      <c r="J62" s="147" t="s">
        <v>3</v>
      </c>
      <c r="K62" s="147" t="s">
        <v>4</v>
      </c>
      <c r="L62" s="147" t="s">
        <v>5</v>
      </c>
      <c r="M62" s="148" t="s">
        <v>12</v>
      </c>
      <c r="N62" s="148" t="s">
        <v>13</v>
      </c>
      <c r="O62" s="148" t="s">
        <v>14</v>
      </c>
      <c r="P62" s="149" t="s">
        <v>15</v>
      </c>
      <c r="R62" s="100"/>
    </row>
    <row r="63" spans="1:30" x14ac:dyDescent="0.2">
      <c r="A63" s="42"/>
      <c r="B63" s="35"/>
      <c r="C63" s="30"/>
      <c r="D63" s="168"/>
      <c r="E63" s="215" t="s">
        <v>154</v>
      </c>
      <c r="F63" s="17" t="s">
        <v>135</v>
      </c>
      <c r="G63" s="17" t="s">
        <v>135</v>
      </c>
      <c r="H63" s="17" t="s">
        <v>135</v>
      </c>
      <c r="I63" s="17" t="s">
        <v>135</v>
      </c>
      <c r="J63" s="17" t="s">
        <v>135</v>
      </c>
      <c r="K63" s="17" t="s">
        <v>135</v>
      </c>
      <c r="L63" s="17" t="s">
        <v>135</v>
      </c>
      <c r="M63" s="17" t="s">
        <v>135</v>
      </c>
      <c r="N63" s="17" t="s">
        <v>135</v>
      </c>
      <c r="O63" s="17" t="s">
        <v>135</v>
      </c>
      <c r="P63" s="17" t="s">
        <v>135</v>
      </c>
      <c r="R63" s="100"/>
    </row>
    <row r="64" spans="1:30" x14ac:dyDescent="0.2">
      <c r="A64" s="169" t="s">
        <v>73</v>
      </c>
      <c r="B64" s="84" t="s">
        <v>74</v>
      </c>
      <c r="C64" s="91">
        <v>931196</v>
      </c>
      <c r="D64" s="170">
        <v>931196</v>
      </c>
      <c r="E64" s="221">
        <v>68224.63</v>
      </c>
      <c r="F64" s="102">
        <f>D64/12</f>
        <v>77599.666666666672</v>
      </c>
      <c r="G64" s="102">
        <f>D64/12</f>
        <v>77599.666666666672</v>
      </c>
      <c r="H64" s="102">
        <f>($D64-SUM($E64:G64))/9</f>
        <v>78641.337407407409</v>
      </c>
      <c r="I64" s="102">
        <f>($D64-SUM($E64:H64))/8</f>
        <v>78641.337407407409</v>
      </c>
      <c r="J64" s="102">
        <f>($D64-SUM($E64:I64))/7</f>
        <v>78641.337407407394</v>
      </c>
      <c r="K64" s="102">
        <f>($D64-SUM($E64:J64))/6</f>
        <v>78641.337407407394</v>
      </c>
      <c r="L64" s="102">
        <f>($D64-SUM($E64:K64))/5</f>
        <v>78641.337407407394</v>
      </c>
      <c r="M64" s="102">
        <f>($D64-SUM($E64:L64))/4</f>
        <v>78641.337407407409</v>
      </c>
      <c r="N64" s="102">
        <f>($D64-SUM($E64:M64))/3</f>
        <v>78641.337407407424</v>
      </c>
      <c r="O64" s="102">
        <f>($D64-SUM($E64:N64))/2</f>
        <v>78641.337407407409</v>
      </c>
      <c r="P64" s="103">
        <f>($D64-SUM($E64:O64))</f>
        <v>78641.337407407351</v>
      </c>
      <c r="Q64" s="25">
        <f t="shared" ref="Q64:Q70" si="20">SUM(E64:P64)</f>
        <v>931196</v>
      </c>
      <c r="R64" s="100">
        <f t="shared" ref="R64:R73" si="21">Q64-D64</f>
        <v>0</v>
      </c>
    </row>
    <row r="65" spans="1:18" x14ac:dyDescent="0.2">
      <c r="A65" s="169" t="s">
        <v>75</v>
      </c>
      <c r="B65" s="84" t="s">
        <v>76</v>
      </c>
      <c r="C65" s="92">
        <v>573076</v>
      </c>
      <c r="D65" s="170">
        <v>573076</v>
      </c>
      <c r="E65" s="221">
        <v>46997.54</v>
      </c>
      <c r="F65" s="102">
        <f>D65/12</f>
        <v>47756.333333333336</v>
      </c>
      <c r="G65" s="102">
        <f>D65/12</f>
        <v>47756.333333333336</v>
      </c>
      <c r="H65" s="102">
        <f>($D65-SUM($E65:G65))/9</f>
        <v>47840.643703703703</v>
      </c>
      <c r="I65" s="102">
        <f>($D65-SUM($E65:H65))/8</f>
        <v>47840.643703703703</v>
      </c>
      <c r="J65" s="102">
        <f>($D65-SUM($E65:I65))/7</f>
        <v>47840.643703703703</v>
      </c>
      <c r="K65" s="102">
        <f>($D65-SUM($E65:J65))/6</f>
        <v>47840.643703703703</v>
      </c>
      <c r="L65" s="102">
        <f>($D65-SUM($E65:K65))/5</f>
        <v>47840.643703703696</v>
      </c>
      <c r="M65" s="102">
        <f>($D65-SUM($E65:L65))/4</f>
        <v>47840.643703703696</v>
      </c>
      <c r="N65" s="102">
        <f>($D65-SUM($E65:M65))/3</f>
        <v>47840.643703703689</v>
      </c>
      <c r="O65" s="102">
        <f>($D65-SUM($E65:N65))/2</f>
        <v>47840.643703703681</v>
      </c>
      <c r="P65" s="103">
        <f>($D65-SUM($E65:O65))</f>
        <v>47840.643703703652</v>
      </c>
      <c r="Q65" s="25">
        <f t="shared" si="20"/>
        <v>573076</v>
      </c>
      <c r="R65" s="100">
        <f t="shared" si="21"/>
        <v>0</v>
      </c>
    </row>
    <row r="66" spans="1:18" x14ac:dyDescent="0.2">
      <c r="A66" s="169" t="s">
        <v>77</v>
      </c>
      <c r="B66" s="84" t="s">
        <v>78</v>
      </c>
      <c r="C66" s="91">
        <v>632093</v>
      </c>
      <c r="D66" s="170">
        <v>632093</v>
      </c>
      <c r="E66" s="221">
        <v>41378.629999999997</v>
      </c>
      <c r="F66" s="102">
        <f>D66/12</f>
        <v>52674.416666666664</v>
      </c>
      <c r="G66" s="102">
        <f>D66/12</f>
        <v>52674.416666666664</v>
      </c>
      <c r="H66" s="102">
        <f>($D66-SUM($E66:G66))/9</f>
        <v>53929.504074074073</v>
      </c>
      <c r="I66" s="102">
        <f>($D66-SUM($E66:H66))/8</f>
        <v>53929.504074074081</v>
      </c>
      <c r="J66" s="102">
        <f>($D66-SUM($E66:I66))/7</f>
        <v>53929.504074074081</v>
      </c>
      <c r="K66" s="102">
        <f>($D66-SUM($E66:J66))/6</f>
        <v>53929.504074074073</v>
      </c>
      <c r="L66" s="102">
        <f>($D66-SUM($E66:K66))/5</f>
        <v>53929.504074074073</v>
      </c>
      <c r="M66" s="102">
        <f>($D66-SUM($E66:L66))/4</f>
        <v>53929.504074074066</v>
      </c>
      <c r="N66" s="102">
        <f>($D66-SUM($E66:M66))/3</f>
        <v>53929.504074074059</v>
      </c>
      <c r="O66" s="102">
        <f>($D66-SUM($E66:N66))/2</f>
        <v>53929.504074074066</v>
      </c>
      <c r="P66" s="103">
        <f>($D66-SUM($E66:O66))</f>
        <v>53929.504074074095</v>
      </c>
      <c r="Q66" s="25">
        <f t="shared" si="20"/>
        <v>632093</v>
      </c>
      <c r="R66" s="100">
        <f t="shared" si="21"/>
        <v>0</v>
      </c>
    </row>
    <row r="67" spans="1:18" x14ac:dyDescent="0.2">
      <c r="A67" s="169" t="s">
        <v>79</v>
      </c>
      <c r="B67" s="84" t="s">
        <v>80</v>
      </c>
      <c r="C67" s="92">
        <f>(228901+480870+7750)-3000</f>
        <v>714521</v>
      </c>
      <c r="D67" s="170">
        <v>714521</v>
      </c>
      <c r="E67" s="221">
        <f>10793.86+6691.56</f>
        <v>17485.420000000002</v>
      </c>
      <c r="F67" s="102">
        <f>D67/12</f>
        <v>59543.416666666664</v>
      </c>
      <c r="G67" s="102">
        <f>D67/12</f>
        <v>59543.416666666664</v>
      </c>
      <c r="H67" s="102">
        <f>($D67-SUM($E67:G67))/9</f>
        <v>64216.527407407411</v>
      </c>
      <c r="I67" s="102">
        <f>($D67-SUM($E67:H67))/8</f>
        <v>64216.527407407411</v>
      </c>
      <c r="J67" s="102">
        <f>($D67-SUM($E67:I67))/7</f>
        <v>64216.527407407411</v>
      </c>
      <c r="K67" s="102">
        <f>($D67-SUM($E67:J67))/6</f>
        <v>64216.527407407411</v>
      </c>
      <c r="L67" s="102">
        <f>($D67-SUM($E67:K67))/5</f>
        <v>64216.527407407411</v>
      </c>
      <c r="M67" s="102">
        <f>($D67-SUM($E67:L67))/4</f>
        <v>64216.527407407411</v>
      </c>
      <c r="N67" s="102">
        <f>($D67-SUM($E67:M67))/3</f>
        <v>64216.527407407411</v>
      </c>
      <c r="O67" s="102">
        <f>($D67-SUM($E67:N67))/2</f>
        <v>64216.527407407411</v>
      </c>
      <c r="P67" s="103">
        <f>($D67-SUM($E67:O67))</f>
        <v>64216.527407407411</v>
      </c>
      <c r="Q67" s="25">
        <f t="shared" si="20"/>
        <v>714521</v>
      </c>
      <c r="R67" s="100">
        <f t="shared" si="21"/>
        <v>0</v>
      </c>
    </row>
    <row r="68" spans="1:18" ht="25.5" x14ac:dyDescent="0.2">
      <c r="A68" s="172" t="s">
        <v>92</v>
      </c>
      <c r="B68" s="62" t="s">
        <v>114</v>
      </c>
      <c r="C68" s="32">
        <v>0</v>
      </c>
      <c r="D68" s="173">
        <v>0</v>
      </c>
      <c r="E68" s="221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3"/>
      <c r="Q68" s="25">
        <f t="shared" si="20"/>
        <v>0</v>
      </c>
      <c r="R68" s="100">
        <f t="shared" si="21"/>
        <v>0</v>
      </c>
    </row>
    <row r="69" spans="1:18" ht="25.5" x14ac:dyDescent="0.2">
      <c r="A69" s="172" t="s">
        <v>92</v>
      </c>
      <c r="B69" s="62" t="s">
        <v>114</v>
      </c>
      <c r="C69" s="32">
        <v>0</v>
      </c>
      <c r="D69" s="171">
        <v>0</v>
      </c>
      <c r="E69" s="221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25">
        <f t="shared" si="20"/>
        <v>0</v>
      </c>
      <c r="R69" s="100">
        <f t="shared" si="21"/>
        <v>0</v>
      </c>
    </row>
    <row r="70" spans="1:18" ht="25.5" x14ac:dyDescent="0.2">
      <c r="A70" s="172" t="s">
        <v>92</v>
      </c>
      <c r="B70" s="62" t="s">
        <v>114</v>
      </c>
      <c r="C70" s="32">
        <v>0</v>
      </c>
      <c r="D70" s="171">
        <v>0</v>
      </c>
      <c r="E70" s="221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25">
        <f t="shared" si="20"/>
        <v>0</v>
      </c>
      <c r="R70" s="100">
        <f t="shared" si="21"/>
        <v>0</v>
      </c>
    </row>
    <row r="71" spans="1:18" x14ac:dyDescent="0.2">
      <c r="A71" s="172" t="s">
        <v>101</v>
      </c>
      <c r="B71" s="62" t="s">
        <v>113</v>
      </c>
      <c r="C71" s="32">
        <v>3000</v>
      </c>
      <c r="D71" s="171">
        <v>3000</v>
      </c>
      <c r="E71" s="221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3">
        <f>($D71-SUM($E71:O71))</f>
        <v>3000</v>
      </c>
      <c r="Q71" s="25"/>
      <c r="R71" s="100">
        <f t="shared" si="21"/>
        <v>-3000</v>
      </c>
    </row>
    <row r="72" spans="1:18" ht="13.5" thickBot="1" x14ac:dyDescent="0.25">
      <c r="A72" s="200" t="s">
        <v>81</v>
      </c>
      <c r="B72" s="201" t="s">
        <v>82</v>
      </c>
      <c r="C72" s="202"/>
      <c r="D72" s="203">
        <v>0</v>
      </c>
      <c r="E72" s="221">
        <f>$D72/12</f>
        <v>0</v>
      </c>
      <c r="F72" s="102">
        <f>($D72-SUM(E72:$E72))/11</f>
        <v>0</v>
      </c>
      <c r="G72" s="102">
        <f>($D72-SUM($E72:F72))/10</f>
        <v>0</v>
      </c>
      <c r="H72" s="102">
        <f>($D72-SUM($E72:G72))/9</f>
        <v>0</v>
      </c>
      <c r="I72" s="102">
        <f>($D72-SUM($E72:H72))/8</f>
        <v>0</v>
      </c>
      <c r="J72" s="102">
        <f>($D72-SUM($E72:I72))/7</f>
        <v>0</v>
      </c>
      <c r="K72" s="102">
        <f>($D72-SUM($E72:J72))/6</f>
        <v>0</v>
      </c>
      <c r="L72" s="102">
        <f>($D72-SUM($E72:K72))/5</f>
        <v>0</v>
      </c>
      <c r="M72" s="102">
        <f>($D72-SUM($E72:L72))/4</f>
        <v>0</v>
      </c>
      <c r="N72" s="102">
        <f>($D72-SUM($E72:M72))/3</f>
        <v>0</v>
      </c>
      <c r="O72" s="102">
        <f>($D72-SUM($E72:N72))/2</f>
        <v>0</v>
      </c>
      <c r="P72" s="103">
        <f>($D72-SUM($E72:O72))</f>
        <v>0</v>
      </c>
      <c r="Q72" s="25">
        <f>SUM(E72:P72)</f>
        <v>0</v>
      </c>
      <c r="R72" s="100">
        <f t="shared" si="21"/>
        <v>0</v>
      </c>
    </row>
    <row r="73" spans="1:18" ht="13.5" thickBot="1" x14ac:dyDescent="0.25">
      <c r="A73" s="196" t="s">
        <v>83</v>
      </c>
      <c r="B73" s="197" t="s">
        <v>87</v>
      </c>
      <c r="C73" s="198">
        <f t="shared" ref="C73:P73" si="22">SUM(C64:C72)</f>
        <v>2853886</v>
      </c>
      <c r="D73" s="199">
        <f t="shared" si="22"/>
        <v>2853886</v>
      </c>
      <c r="E73" s="220">
        <f t="shared" si="22"/>
        <v>174086.22000000003</v>
      </c>
      <c r="F73" s="140">
        <f t="shared" si="22"/>
        <v>237573.83333333331</v>
      </c>
      <c r="G73" s="140">
        <f t="shared" si="22"/>
        <v>237573.83333333331</v>
      </c>
      <c r="H73" s="140">
        <f t="shared" si="22"/>
        <v>244628.0125925926</v>
      </c>
      <c r="I73" s="141">
        <f t="shared" si="22"/>
        <v>244628.01259259263</v>
      </c>
      <c r="J73" s="141">
        <f t="shared" si="22"/>
        <v>244628.01259259257</v>
      </c>
      <c r="K73" s="141">
        <f t="shared" si="22"/>
        <v>244628.01259259257</v>
      </c>
      <c r="L73" s="141">
        <f t="shared" si="22"/>
        <v>244628.01259259257</v>
      </c>
      <c r="M73" s="141">
        <f t="shared" si="22"/>
        <v>244628.01259259257</v>
      </c>
      <c r="N73" s="141">
        <f t="shared" si="22"/>
        <v>244628.0125925926</v>
      </c>
      <c r="O73" s="141">
        <f t="shared" si="22"/>
        <v>244628.01259259257</v>
      </c>
      <c r="P73" s="141">
        <f t="shared" si="22"/>
        <v>247628.01259259251</v>
      </c>
      <c r="R73" s="100">
        <f t="shared" si="21"/>
        <v>-2853886</v>
      </c>
    </row>
    <row r="74" spans="1:18" ht="13.5" thickBot="1" x14ac:dyDescent="0.25">
      <c r="A74" s="35"/>
      <c r="B74" s="35"/>
      <c r="C74" s="28"/>
      <c r="D74" s="5"/>
      <c r="E74" s="5"/>
      <c r="F74" s="5"/>
      <c r="G74" s="6"/>
      <c r="H74" s="6"/>
      <c r="I74" s="7"/>
      <c r="J74" s="5"/>
      <c r="K74" s="6"/>
      <c r="L74" s="6"/>
      <c r="M74" s="4"/>
      <c r="N74" s="4"/>
      <c r="O74" s="4"/>
      <c r="P74" s="4"/>
    </row>
    <row r="75" spans="1:18" ht="25.5" x14ac:dyDescent="0.2">
      <c r="A75" s="155" t="s">
        <v>52</v>
      </c>
      <c r="B75" s="156"/>
      <c r="C75" s="157">
        <v>558275</v>
      </c>
      <c r="D75" s="158">
        <v>551081.05000000005</v>
      </c>
      <c r="E75" s="150">
        <f>+D75</f>
        <v>551081.05000000005</v>
      </c>
      <c r="F75" s="120">
        <f t="shared" ref="F75:P75" si="23">+E80</f>
        <v>597788.66999999993</v>
      </c>
      <c r="G75" s="120">
        <f t="shared" si="23"/>
        <v>561251.25848484854</v>
      </c>
      <c r="H75" s="120">
        <f t="shared" si="23"/>
        <v>452071.24696969701</v>
      </c>
      <c r="I75" s="120">
        <f t="shared" si="23"/>
        <v>432693.85619528615</v>
      </c>
      <c r="J75" s="120">
        <f t="shared" si="23"/>
        <v>401209.36542087526</v>
      </c>
      <c r="K75" s="120">
        <f t="shared" si="23"/>
        <v>381831.97464646451</v>
      </c>
      <c r="L75" s="120">
        <f t="shared" si="23"/>
        <v>362454.58387205371</v>
      </c>
      <c r="M75" s="121">
        <f t="shared" si="23"/>
        <v>343077.19309764291</v>
      </c>
      <c r="N75" s="121">
        <f t="shared" si="23"/>
        <v>226843.00232323218</v>
      </c>
      <c r="O75" s="121">
        <f t="shared" si="23"/>
        <v>134823.01154882138</v>
      </c>
      <c r="P75" s="122">
        <f t="shared" si="23"/>
        <v>200195.32077441056</v>
      </c>
    </row>
    <row r="76" spans="1:18" x14ac:dyDescent="0.2">
      <c r="A76" s="159" t="s">
        <v>45</v>
      </c>
      <c r="B76" s="84"/>
      <c r="C76" s="153">
        <f>+C60</f>
        <v>2507490</v>
      </c>
      <c r="D76" s="160">
        <f>+D60</f>
        <v>2507490</v>
      </c>
      <c r="E76" s="151">
        <f>+E60</f>
        <v>220793.84</v>
      </c>
      <c r="F76" s="51">
        <f>+F60</f>
        <v>201036.42181818181</v>
      </c>
      <c r="G76" s="51">
        <f>+G60</f>
        <v>128393.82181818184</v>
      </c>
      <c r="H76" s="51">
        <f>+H60</f>
        <v>225250.6218181818</v>
      </c>
      <c r="I76" s="51">
        <f>+I60</f>
        <v>213143.52181818179</v>
      </c>
      <c r="J76" s="51">
        <f>+J60</f>
        <v>225250.6218181818</v>
      </c>
      <c r="K76" s="51">
        <f>+K60</f>
        <v>225250.6218181818</v>
      </c>
      <c r="L76" s="51">
        <f>+L60</f>
        <v>225250.6218181818</v>
      </c>
      <c r="M76" s="122">
        <f>+M60</f>
        <v>128393.82181818184</v>
      </c>
      <c r="N76" s="122">
        <f>+N60</f>
        <v>152608.02181818179</v>
      </c>
      <c r="O76" s="122">
        <f>+O60</f>
        <v>310000.32181818178</v>
      </c>
      <c r="P76" s="122">
        <f>+P60</f>
        <v>252117.741818182</v>
      </c>
    </row>
    <row r="77" spans="1:18" x14ac:dyDescent="0.2">
      <c r="A77" s="159" t="s">
        <v>46</v>
      </c>
      <c r="B77" s="84"/>
      <c r="C77" s="153">
        <f>-C73</f>
        <v>-2853886</v>
      </c>
      <c r="D77" s="160">
        <f>-D73</f>
        <v>-2853886</v>
      </c>
      <c r="E77" s="151">
        <f>-E73</f>
        <v>-174086.22000000003</v>
      </c>
      <c r="F77" s="51">
        <f>-F73</f>
        <v>-237573.83333333331</v>
      </c>
      <c r="G77" s="51">
        <f>-G73</f>
        <v>-237573.83333333331</v>
      </c>
      <c r="H77" s="51">
        <f>-H73</f>
        <v>-244628.0125925926</v>
      </c>
      <c r="I77" s="51">
        <f>-I73</f>
        <v>-244628.01259259263</v>
      </c>
      <c r="J77" s="51">
        <f>-J73</f>
        <v>-244628.01259259257</v>
      </c>
      <c r="K77" s="51">
        <f>-K73</f>
        <v>-244628.01259259257</v>
      </c>
      <c r="L77" s="51">
        <f>-L73</f>
        <v>-244628.01259259257</v>
      </c>
      <c r="M77" s="122">
        <f>-M73</f>
        <v>-244628.01259259257</v>
      </c>
      <c r="N77" s="122">
        <f>-N73</f>
        <v>-244628.0125925926</v>
      </c>
      <c r="O77" s="122">
        <f>-O73</f>
        <v>-244628.01259259257</v>
      </c>
      <c r="P77" s="122">
        <f>-P73</f>
        <v>-247628.01259259251</v>
      </c>
    </row>
    <row r="78" spans="1:18" x14ac:dyDescent="0.2">
      <c r="A78" s="161" t="s">
        <v>84</v>
      </c>
      <c r="B78" s="154" t="s">
        <v>85</v>
      </c>
      <c r="C78" s="153">
        <f>-C74</f>
        <v>0</v>
      </c>
      <c r="D78" s="162">
        <f>-D74</f>
        <v>0</v>
      </c>
      <c r="E78" s="152">
        <v>0</v>
      </c>
      <c r="F78" s="123">
        <v>0</v>
      </c>
      <c r="G78" s="123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4">
        <v>0</v>
      </c>
      <c r="N78" s="124">
        <v>0</v>
      </c>
      <c r="O78" s="124">
        <v>0</v>
      </c>
      <c r="P78" s="124">
        <v>0</v>
      </c>
    </row>
    <row r="79" spans="1:18" x14ac:dyDescent="0.2">
      <c r="A79" s="163" t="s">
        <v>86</v>
      </c>
      <c r="B79" s="62" t="s">
        <v>72</v>
      </c>
      <c r="C79" s="153">
        <f>+C78</f>
        <v>0</v>
      </c>
      <c r="D79" s="160">
        <f>+D78</f>
        <v>0</v>
      </c>
      <c r="E79" s="151"/>
      <c r="F79" s="120"/>
      <c r="G79" s="120"/>
      <c r="H79" s="125"/>
      <c r="I79" s="125"/>
      <c r="J79" s="125"/>
      <c r="K79" s="125"/>
      <c r="L79" s="125"/>
      <c r="M79" s="126"/>
      <c r="N79" s="126"/>
      <c r="O79" s="126"/>
      <c r="P79" s="126"/>
    </row>
    <row r="80" spans="1:18" ht="25.5" x14ac:dyDescent="0.2">
      <c r="A80" s="210" t="s">
        <v>121</v>
      </c>
      <c r="B80" s="192" t="s">
        <v>87</v>
      </c>
      <c r="C80" s="193">
        <f t="shared" ref="C80:P80" si="24">SUM(C75:C79)</f>
        <v>211879</v>
      </c>
      <c r="D80" s="211">
        <f t="shared" si="24"/>
        <v>204685.04999999981</v>
      </c>
      <c r="E80" s="143">
        <f t="shared" si="24"/>
        <v>597788.66999999993</v>
      </c>
      <c r="F80" s="143">
        <f t="shared" si="24"/>
        <v>561251.25848484854</v>
      </c>
      <c r="G80" s="143">
        <f t="shared" si="24"/>
        <v>452071.24696969701</v>
      </c>
      <c r="H80" s="143">
        <f t="shared" si="24"/>
        <v>432693.85619528615</v>
      </c>
      <c r="I80" s="142">
        <f t="shared" si="24"/>
        <v>401209.36542087526</v>
      </c>
      <c r="J80" s="142">
        <f t="shared" si="24"/>
        <v>381831.97464646451</v>
      </c>
      <c r="K80" s="142">
        <f t="shared" si="24"/>
        <v>362454.58387205371</v>
      </c>
      <c r="L80" s="142">
        <f t="shared" si="24"/>
        <v>343077.19309764291</v>
      </c>
      <c r="M80" s="144">
        <f t="shared" si="24"/>
        <v>226843.00232323218</v>
      </c>
      <c r="N80" s="144">
        <f t="shared" si="24"/>
        <v>134823.01154882138</v>
      </c>
      <c r="O80" s="144">
        <f t="shared" si="24"/>
        <v>200195.32077441056</v>
      </c>
      <c r="P80" s="145">
        <f t="shared" si="24"/>
        <v>204685.05000000005</v>
      </c>
      <c r="R80" s="214">
        <f>P80-D80</f>
        <v>2.3283064365386963E-10</v>
      </c>
    </row>
    <row r="81" spans="1:30" x14ac:dyDescent="0.2">
      <c r="A81" s="39"/>
      <c r="B81" s="39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68"/>
      <c r="N81" s="68"/>
      <c r="O81" s="68"/>
      <c r="P81" s="68"/>
    </row>
    <row r="82" spans="1:30" x14ac:dyDescent="0.2">
      <c r="A82" s="44" t="s">
        <v>97</v>
      </c>
      <c r="B82" s="39"/>
      <c r="C82" s="41"/>
      <c r="D82" s="46"/>
      <c r="E82" s="47"/>
      <c r="F82" s="47"/>
      <c r="G82" s="47"/>
      <c r="H82" s="47"/>
      <c r="I82" s="46"/>
      <c r="J82" s="46"/>
      <c r="K82" s="46"/>
      <c r="L82" s="46"/>
      <c r="M82" s="48"/>
      <c r="N82" s="48"/>
      <c r="O82" s="48"/>
      <c r="P82" s="48"/>
    </row>
    <row r="83" spans="1:30" x14ac:dyDescent="0.2">
      <c r="A83" s="49" t="s">
        <v>93</v>
      </c>
      <c r="B83" s="50"/>
      <c r="C83" s="31"/>
      <c r="D83" s="51">
        <v>6290.35</v>
      </c>
      <c r="E83" s="51">
        <v>6290</v>
      </c>
      <c r="F83" s="51">
        <v>6290</v>
      </c>
      <c r="G83" s="51">
        <v>6290</v>
      </c>
      <c r="H83" s="51">
        <v>6290</v>
      </c>
      <c r="I83" s="51">
        <v>6290</v>
      </c>
      <c r="J83" s="51">
        <v>6290</v>
      </c>
      <c r="K83" s="51">
        <v>6290</v>
      </c>
      <c r="L83" s="51">
        <v>6290</v>
      </c>
      <c r="M83" s="51">
        <v>6290</v>
      </c>
      <c r="N83" s="51">
        <v>6290</v>
      </c>
      <c r="O83" s="51">
        <v>6290</v>
      </c>
      <c r="P83" s="51">
        <v>6290</v>
      </c>
    </row>
    <row r="84" spans="1:30" x14ac:dyDescent="0.2">
      <c r="A84" s="53" t="s">
        <v>94</v>
      </c>
      <c r="B84" s="55"/>
      <c r="C84" s="56"/>
      <c r="D84" s="57">
        <v>0</v>
      </c>
      <c r="E84" s="57">
        <v>0</v>
      </c>
      <c r="F84" s="57"/>
      <c r="G84" s="58"/>
      <c r="H84" s="59"/>
      <c r="I84" s="60"/>
      <c r="J84" s="60"/>
      <c r="K84" s="60"/>
      <c r="L84" s="61"/>
      <c r="M84" s="53"/>
      <c r="N84" s="54"/>
      <c r="O84" s="53"/>
      <c r="P84" s="54"/>
    </row>
    <row r="85" spans="1:30" ht="25.5" x14ac:dyDescent="0.2">
      <c r="A85" s="62" t="s">
        <v>95</v>
      </c>
      <c r="B85" s="63"/>
      <c r="C85" s="64"/>
      <c r="D85" s="52">
        <v>433904</v>
      </c>
      <c r="E85" s="61">
        <v>433904</v>
      </c>
      <c r="F85" s="61">
        <v>433904</v>
      </c>
      <c r="G85" s="61">
        <v>433904</v>
      </c>
      <c r="H85" s="61">
        <v>433904</v>
      </c>
      <c r="I85" s="61">
        <v>433904</v>
      </c>
      <c r="J85" s="61">
        <v>433904</v>
      </c>
      <c r="K85" s="61">
        <v>433904</v>
      </c>
      <c r="L85" s="61">
        <v>433904</v>
      </c>
      <c r="M85" s="61">
        <v>433904</v>
      </c>
      <c r="N85" s="61">
        <v>433904</v>
      </c>
      <c r="O85" s="61">
        <v>433904</v>
      </c>
      <c r="P85" s="61">
        <v>433904</v>
      </c>
    </row>
    <row r="86" spans="1:30" s="67" customFormat="1" ht="27.75" customHeight="1" x14ac:dyDescent="0.2">
      <c r="A86" s="65" t="s">
        <v>96</v>
      </c>
      <c r="B86" s="66"/>
      <c r="C86" s="69">
        <f>C80-C83-C84-C85</f>
        <v>211879</v>
      </c>
      <c r="D86" s="69">
        <f>D80-D83-D84-D85</f>
        <v>-235509.30000000019</v>
      </c>
      <c r="E86" s="222">
        <f>E80-E83-E84-E85</f>
        <v>157594.66999999993</v>
      </c>
      <c r="F86" s="69">
        <f>F80-F83-F84-F85</f>
        <v>121057.25848484854</v>
      </c>
      <c r="G86" s="69">
        <f>G80-G83-G84-G85</f>
        <v>11877.246969697007</v>
      </c>
      <c r="H86" s="69">
        <f>H80-H83-H84-H85</f>
        <v>-7500.1438047138508</v>
      </c>
      <c r="I86" s="69">
        <f>I80-I83-I84-I85</f>
        <v>-38984.634579124744</v>
      </c>
      <c r="J86" s="69">
        <f>J80-J83-J84-J85</f>
        <v>-58362.025353535486</v>
      </c>
      <c r="K86" s="69">
        <f>K80-K83-K84-K85</f>
        <v>-77739.416127946286</v>
      </c>
      <c r="L86" s="69">
        <f>L80-L83-L84-L85</f>
        <v>-97116.806902357086</v>
      </c>
      <c r="M86" s="69">
        <f>M80-M83-M84-M85</f>
        <v>-213350.99767676782</v>
      </c>
      <c r="N86" s="69">
        <f>N80-N83-N84-N85</f>
        <v>-305370.98845117865</v>
      </c>
      <c r="O86" s="69">
        <f>O80-O83-O84-O85</f>
        <v>-239998.67922558944</v>
      </c>
      <c r="P86" s="69">
        <f>P80-P83-P84-P85</f>
        <v>-235508.94999999995</v>
      </c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1:30" ht="15" customHeight="1" x14ac:dyDescent="0.2">
      <c r="B87" s="37"/>
      <c r="C87"/>
      <c r="D87"/>
      <c r="E87"/>
      <c r="F87"/>
      <c r="G87"/>
      <c r="J87" s="3"/>
    </row>
    <row r="96" spans="1:30" ht="13.5" customHeight="1" x14ac:dyDescent="0.2">
      <c r="A96" s="1"/>
      <c r="B96"/>
      <c r="C96"/>
      <c r="D96" s="43"/>
      <c r="E96" s="43"/>
      <c r="F96" s="43"/>
      <c r="G96" s="43"/>
      <c r="H96" s="43"/>
    </row>
    <row r="97" spans="2:3" ht="13.5" customHeight="1" x14ac:dyDescent="0.2">
      <c r="B97" s="37"/>
      <c r="C97"/>
    </row>
    <row r="98" spans="2:3" ht="13.5" customHeight="1" x14ac:dyDescent="0.2">
      <c r="B98" s="37"/>
      <c r="C98"/>
    </row>
    <row r="99" spans="2:3" ht="13.5" customHeight="1" x14ac:dyDescent="0.2">
      <c r="B99" s="37"/>
      <c r="C99"/>
    </row>
    <row r="100" spans="2:3" ht="15" customHeight="1" x14ac:dyDescent="0.2">
      <c r="B100" s="37"/>
      <c r="C100"/>
    </row>
    <row r="101" spans="2:3" ht="12.75" customHeight="1" x14ac:dyDescent="0.2">
      <c r="B101" s="37"/>
      <c r="C101"/>
    </row>
    <row r="102" spans="2:3" ht="15" customHeight="1" x14ac:dyDescent="0.2">
      <c r="B102" s="37"/>
      <c r="C102"/>
    </row>
    <row r="103" spans="2:3" ht="15" customHeight="1" x14ac:dyDescent="0.2">
      <c r="B103" s="37"/>
      <c r="C103"/>
    </row>
    <row r="104" spans="2:3" ht="12" customHeight="1" x14ac:dyDescent="0.2">
      <c r="B104" s="37"/>
      <c r="C104"/>
    </row>
    <row r="105" spans="2:3" ht="14.25" customHeight="1" x14ac:dyDescent="0.2">
      <c r="B105" s="37"/>
      <c r="C105"/>
    </row>
    <row r="106" spans="2:3" ht="12.75" customHeight="1" x14ac:dyDescent="0.2">
      <c r="B106" s="37"/>
      <c r="C106"/>
    </row>
    <row r="107" spans="2:3" ht="12.75" customHeight="1" x14ac:dyDescent="0.2">
      <c r="B107" s="37"/>
      <c r="C107"/>
    </row>
    <row r="108" spans="2:3" ht="12.75" customHeight="1" x14ac:dyDescent="0.2">
      <c r="B108" s="37"/>
      <c r="C108"/>
    </row>
    <row r="109" spans="2:3" ht="12.75" customHeight="1" x14ac:dyDescent="0.2">
      <c r="B109" s="37"/>
      <c r="C109"/>
    </row>
    <row r="110" spans="2:3" ht="12.75" customHeight="1" x14ac:dyDescent="0.2">
      <c r="B110" s="37"/>
      <c r="C110"/>
    </row>
    <row r="111" spans="2:3" x14ac:dyDescent="0.2">
      <c r="B111" s="37"/>
      <c r="C111"/>
    </row>
    <row r="112" spans="2:3" x14ac:dyDescent="0.2">
      <c r="B112" s="37"/>
      <c r="C112"/>
    </row>
  </sheetData>
  <phoneticPr fontId="0" type="noConversion"/>
  <conditionalFormatting sqref="E9:P87">
    <cfRule type="cellIs" dxfId="1" priority="1" operator="lessThan">
      <formula>0</formula>
    </cfRule>
  </conditionalFormatting>
  <conditionalFormatting sqref="Q9:Q35 Q64:Q72 Q37:Q47 Q51:Q60">
    <cfRule type="cellIs" dxfId="0" priority="4" stopIfTrue="1" operator="notEqual">
      <formula>$D$9</formula>
    </cfRule>
  </conditionalFormatting>
  <pageMargins left="0.43" right="0.46" top="0.4" bottom="0.3" header="0.38" footer="0.41"/>
  <pageSetup paperSize="5" scale="36" orientation="landscape" r:id="rId1"/>
  <headerFooter alignWithMargins="0"/>
  <rowBreaks count="1" manualBreakCount="1">
    <brk id="8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"/>
  <sheetViews>
    <sheetView workbookViewId="0">
      <selection activeCell="L21" sqref="L21"/>
    </sheetView>
  </sheetViews>
  <sheetFormatPr defaultRowHeight="12.75" x14ac:dyDescent="0.2"/>
  <cols>
    <col min="1" max="1" width="33.85546875" customWidth="1"/>
    <col min="2" max="2" width="16.5703125" bestFit="1" customWidth="1"/>
    <col min="3" max="3" width="18.5703125" bestFit="1" customWidth="1"/>
    <col min="4" max="4" width="15.85546875" bestFit="1" customWidth="1"/>
    <col min="5" max="5" width="12.85546875" bestFit="1" customWidth="1"/>
    <col min="6" max="7" width="15.140625" bestFit="1" customWidth="1"/>
    <col min="8" max="15" width="21.85546875" customWidth="1"/>
    <col min="16" max="16" width="11.5703125" bestFit="1" customWidth="1"/>
  </cols>
  <sheetData>
    <row r="1" spans="1:29" x14ac:dyDescent="0.2">
      <c r="A1" s="44" t="str">
        <f>'Fund Balance Projection'!A1</f>
        <v>North River School District</v>
      </c>
    </row>
    <row r="2" spans="1:29" ht="13.5" thickBot="1" x14ac:dyDescent="0.25"/>
    <row r="3" spans="1:29" s="1" customFormat="1" x14ac:dyDescent="0.2">
      <c r="A3" s="34" t="s">
        <v>149</v>
      </c>
      <c r="B3" s="109" t="s">
        <v>17</v>
      </c>
      <c r="C3" s="110" t="s">
        <v>35</v>
      </c>
      <c r="D3" s="26" t="s">
        <v>7</v>
      </c>
      <c r="E3" s="26" t="s">
        <v>8</v>
      </c>
      <c r="F3" s="26" t="s">
        <v>124</v>
      </c>
      <c r="G3" s="26" t="s">
        <v>125</v>
      </c>
      <c r="H3" s="17" t="s">
        <v>126</v>
      </c>
      <c r="I3" s="17" t="s">
        <v>3</v>
      </c>
      <c r="J3" s="17" t="s">
        <v>127</v>
      </c>
      <c r="K3" s="17" t="s">
        <v>128</v>
      </c>
      <c r="L3" s="20" t="s">
        <v>12</v>
      </c>
      <c r="M3" s="20" t="s">
        <v>13</v>
      </c>
      <c r="N3" s="20" t="s">
        <v>129</v>
      </c>
      <c r="O3" s="21" t="s">
        <v>130</v>
      </c>
      <c r="P3" s="24" t="s">
        <v>49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1" customFormat="1" x14ac:dyDescent="0.2">
      <c r="A4" s="35"/>
      <c r="B4" s="111" t="s">
        <v>6</v>
      </c>
      <c r="C4" s="112" t="s">
        <v>122</v>
      </c>
      <c r="D4" s="17" t="str">
        <f>'Fund Balance Projection'!E7</f>
        <v>Actual</v>
      </c>
      <c r="E4" s="17" t="str">
        <f>'Fund Balance Projection'!F7</f>
        <v>Estimate</v>
      </c>
      <c r="F4" s="17" t="str">
        <f>'Fund Balance Projection'!G7</f>
        <v>Estimate</v>
      </c>
      <c r="G4" s="17" t="str">
        <f>'Fund Balance Projection'!H7</f>
        <v>Estimate</v>
      </c>
      <c r="H4" s="17" t="str">
        <f>'Fund Balance Projection'!I7</f>
        <v>Estimate</v>
      </c>
      <c r="I4" s="17" t="str">
        <f>'Fund Balance Projection'!J7</f>
        <v>Estimate</v>
      </c>
      <c r="J4" s="17" t="str">
        <f>'Fund Balance Projection'!K7</f>
        <v>Estimate</v>
      </c>
      <c r="K4" s="17" t="str">
        <f>'Fund Balance Projection'!L7</f>
        <v>Estimate</v>
      </c>
      <c r="L4" s="17" t="str">
        <f>'Fund Balance Projection'!M7</f>
        <v>Estimate</v>
      </c>
      <c r="M4" s="17" t="str">
        <f>'Fund Balance Projection'!N7</f>
        <v>Estimate</v>
      </c>
      <c r="N4" s="17" t="str">
        <f>'Fund Balance Projection'!O7</f>
        <v>Estimate</v>
      </c>
      <c r="O4" s="17" t="str">
        <f>'Fund Balance Projection'!P7</f>
        <v>Estimate</v>
      </c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1" customFormat="1" ht="19.5" customHeight="1" x14ac:dyDescent="0.2">
      <c r="A5" s="40" t="s">
        <v>51</v>
      </c>
      <c r="B5" s="113">
        <f>'Fund Balance Projection'!C5</f>
        <v>42</v>
      </c>
      <c r="C5" s="114">
        <f>'Fund Balance Projection'!D5</f>
        <v>42</v>
      </c>
      <c r="D5" s="127">
        <f>'Fund Balance Projection'!E5</f>
        <v>43.64</v>
      </c>
      <c r="E5" s="127">
        <f>'Fund Balance Projection'!F5</f>
        <v>0</v>
      </c>
      <c r="F5" s="127">
        <f>'Fund Balance Projection'!G5</f>
        <v>0</v>
      </c>
      <c r="G5" s="127">
        <f>'Fund Balance Projection'!H5</f>
        <v>0</v>
      </c>
      <c r="H5" s="127">
        <f>'Fund Balance Projection'!I5</f>
        <v>0</v>
      </c>
      <c r="I5" s="127">
        <f>'Fund Balance Projection'!J5</f>
        <v>0</v>
      </c>
      <c r="J5" s="127">
        <f>'Fund Balance Projection'!K5</f>
        <v>0</v>
      </c>
      <c r="K5" s="127">
        <f>'Fund Balance Projection'!L5</f>
        <v>0</v>
      </c>
      <c r="L5" s="127">
        <f>'Fund Balance Projection'!M5</f>
        <v>0</v>
      </c>
      <c r="M5" s="127">
        <f>'Fund Balance Projection'!N5</f>
        <v>0</v>
      </c>
      <c r="N5" s="127">
        <f>'Fund Balance Projection'!O5</f>
        <v>0</v>
      </c>
      <c r="O5" s="127">
        <f>'Fund Balance Projection'!P5</f>
        <v>0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1" customFormat="1" ht="19.5" customHeight="1" x14ac:dyDescent="0.2">
      <c r="A6" s="40" t="s">
        <v>0</v>
      </c>
      <c r="B6" s="115">
        <f>'Fund Balance Projection'!C60</f>
        <v>2507490</v>
      </c>
      <c r="C6" s="116">
        <f>'Fund Balance Projection'!D60</f>
        <v>2507490</v>
      </c>
      <c r="D6" s="128">
        <f>'Fund Balance Projection'!E60</f>
        <v>220793.84</v>
      </c>
      <c r="E6" s="129">
        <f>'Fund Balance Projection'!F60</f>
        <v>201036.42181818181</v>
      </c>
      <c r="F6" s="129">
        <f>'Fund Balance Projection'!G60</f>
        <v>128393.82181818184</v>
      </c>
      <c r="G6" s="129">
        <f>'Fund Balance Projection'!H60</f>
        <v>225250.6218181818</v>
      </c>
      <c r="H6" s="129">
        <f>'Fund Balance Projection'!I60</f>
        <v>213143.52181818179</v>
      </c>
      <c r="I6" s="129">
        <f>'Fund Balance Projection'!J60</f>
        <v>225250.6218181818</v>
      </c>
      <c r="J6" s="129">
        <f>'Fund Balance Projection'!K60</f>
        <v>225250.6218181818</v>
      </c>
      <c r="K6" s="129">
        <f>'Fund Balance Projection'!L60</f>
        <v>225250.6218181818</v>
      </c>
      <c r="L6" s="129">
        <f>'Fund Balance Projection'!M60</f>
        <v>128393.82181818184</v>
      </c>
      <c r="M6" s="129">
        <f>'Fund Balance Projection'!N60</f>
        <v>152608.02181818179</v>
      </c>
      <c r="N6" s="129">
        <f>'Fund Balance Projection'!O60</f>
        <v>310000.32181818178</v>
      </c>
      <c r="O6" s="129">
        <f>'Fund Balance Projection'!P60</f>
        <v>252117.741818182</v>
      </c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1" customFormat="1" ht="19.5" customHeight="1" x14ac:dyDescent="0.2">
      <c r="A7" s="40" t="s">
        <v>83</v>
      </c>
      <c r="B7" s="115">
        <f>'Fund Balance Projection'!C73</f>
        <v>2853886</v>
      </c>
      <c r="C7" s="116">
        <f>'Fund Balance Projection'!D73</f>
        <v>2853886</v>
      </c>
      <c r="D7" s="128">
        <f>'Fund Balance Projection'!E73</f>
        <v>174086.22000000003</v>
      </c>
      <c r="E7" s="129">
        <f>'Fund Balance Projection'!F73</f>
        <v>237573.83333333331</v>
      </c>
      <c r="F7" s="129">
        <f>'Fund Balance Projection'!G73</f>
        <v>237573.83333333331</v>
      </c>
      <c r="G7" s="129">
        <f>'Fund Balance Projection'!H73</f>
        <v>244628.0125925926</v>
      </c>
      <c r="H7" s="129">
        <f>'Fund Balance Projection'!I73</f>
        <v>244628.01259259263</v>
      </c>
      <c r="I7" s="129">
        <f>'Fund Balance Projection'!J73</f>
        <v>244628.01259259257</v>
      </c>
      <c r="J7" s="129">
        <f>'Fund Balance Projection'!K73</f>
        <v>244628.01259259257</v>
      </c>
      <c r="K7" s="129">
        <f>'Fund Balance Projection'!L73</f>
        <v>244628.01259259257</v>
      </c>
      <c r="L7" s="129">
        <f>'Fund Balance Projection'!M73</f>
        <v>244628.01259259257</v>
      </c>
      <c r="M7" s="129">
        <f>'Fund Balance Projection'!N73</f>
        <v>244628.0125925926</v>
      </c>
      <c r="N7" s="129">
        <f>'Fund Balance Projection'!O73</f>
        <v>244628.01259259257</v>
      </c>
      <c r="O7" s="129">
        <f>'Fund Balance Projection'!P73</f>
        <v>247628.01259259251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1" customFormat="1" ht="19.5" customHeight="1" x14ac:dyDescent="0.2">
      <c r="A8" s="40" t="s">
        <v>52</v>
      </c>
      <c r="B8" s="131">
        <f>'Fund Balance Projection'!C75</f>
        <v>558275</v>
      </c>
      <c r="C8" s="132">
        <f>'Fund Balance Projection'!D75</f>
        <v>551081.05000000005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1" customFormat="1" ht="19.5" customHeight="1" thickBot="1" x14ac:dyDescent="0.25">
      <c r="A9" s="40" t="s">
        <v>121</v>
      </c>
      <c r="B9" s="117">
        <f>'Fund Balance Projection'!C80</f>
        <v>211879</v>
      </c>
      <c r="C9" s="118">
        <f>'Fund Balance Projection'!D80</f>
        <v>204685.04999999981</v>
      </c>
      <c r="D9" s="130">
        <f>'Fund Balance Projection'!E80</f>
        <v>597788.66999999993</v>
      </c>
      <c r="E9" s="130">
        <f>'Fund Balance Projection'!F80</f>
        <v>561251.25848484854</v>
      </c>
      <c r="F9" s="130">
        <f>'Fund Balance Projection'!G80</f>
        <v>452071.24696969701</v>
      </c>
      <c r="G9" s="130">
        <f>'Fund Balance Projection'!H80</f>
        <v>432693.85619528615</v>
      </c>
      <c r="H9" s="130">
        <f>'Fund Balance Projection'!I80</f>
        <v>401209.36542087526</v>
      </c>
      <c r="I9" s="130">
        <f>'Fund Balance Projection'!J80</f>
        <v>381831.97464646451</v>
      </c>
      <c r="J9" s="130">
        <f>'Fund Balance Projection'!K80</f>
        <v>362454.58387205371</v>
      </c>
      <c r="K9" s="130">
        <f>'Fund Balance Projection'!L80</f>
        <v>343077.19309764291</v>
      </c>
      <c r="L9" s="130">
        <f>'Fund Balance Projection'!M80</f>
        <v>226843.00232323218</v>
      </c>
      <c r="M9" s="130">
        <f>'Fund Balance Projection'!N80</f>
        <v>134823.01154882138</v>
      </c>
      <c r="N9" s="130">
        <f>'Fund Balance Projection'!O80</f>
        <v>200195.32077441056</v>
      </c>
      <c r="O9" s="130">
        <f>'Fund Balance Projection'!P80</f>
        <v>204685.05000000005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2057-2C2D-4DFA-B3EA-FF3AF3D3A700}">
  <dimension ref="B2:D16"/>
  <sheetViews>
    <sheetView workbookViewId="0">
      <selection activeCell="R23" sqref="R23"/>
    </sheetView>
  </sheetViews>
  <sheetFormatPr defaultRowHeight="12.75" x14ac:dyDescent="0.2"/>
  <sheetData>
    <row r="2" spans="2:4" ht="20.25" x14ac:dyDescent="0.3">
      <c r="C2" s="93" t="s">
        <v>123</v>
      </c>
    </row>
    <row r="3" spans="2:4" ht="18.75" x14ac:dyDescent="0.3">
      <c r="B3" s="94" t="s">
        <v>102</v>
      </c>
      <c r="C3" t="s">
        <v>132</v>
      </c>
    </row>
    <row r="4" spans="2:4" ht="18.75" x14ac:dyDescent="0.3">
      <c r="B4" s="94" t="s">
        <v>102</v>
      </c>
      <c r="C4" t="s">
        <v>103</v>
      </c>
    </row>
    <row r="5" spans="2:4" ht="18.75" x14ac:dyDescent="0.3">
      <c r="B5" s="94"/>
      <c r="D5" t="s">
        <v>104</v>
      </c>
    </row>
    <row r="6" spans="2:4" ht="18.75" x14ac:dyDescent="0.3">
      <c r="B6" s="94" t="s">
        <v>102</v>
      </c>
      <c r="C6" s="23" t="s">
        <v>136</v>
      </c>
    </row>
    <row r="7" spans="2:4" ht="18.75" x14ac:dyDescent="0.3">
      <c r="B7" s="94" t="s">
        <v>102</v>
      </c>
      <c r="C7" t="s">
        <v>105</v>
      </c>
    </row>
    <row r="8" spans="2:4" ht="18.75" x14ac:dyDescent="0.3">
      <c r="B8" s="94" t="s">
        <v>102</v>
      </c>
      <c r="C8" t="s">
        <v>133</v>
      </c>
    </row>
    <row r="9" spans="2:4" ht="18.75" x14ac:dyDescent="0.3">
      <c r="B9" s="94" t="s">
        <v>102</v>
      </c>
      <c r="C9" t="s">
        <v>110</v>
      </c>
    </row>
    <row r="10" spans="2:4" x14ac:dyDescent="0.2">
      <c r="D10" s="108" t="s">
        <v>120</v>
      </c>
    </row>
    <row r="11" spans="2:4" ht="18.75" x14ac:dyDescent="0.3">
      <c r="B11" s="94" t="s">
        <v>102</v>
      </c>
      <c r="C11" s="23" t="s">
        <v>137</v>
      </c>
    </row>
    <row r="12" spans="2:4" ht="18.75" x14ac:dyDescent="0.3">
      <c r="B12" s="94" t="s">
        <v>102</v>
      </c>
      <c r="C12" t="s">
        <v>106</v>
      </c>
    </row>
    <row r="13" spans="2:4" ht="18.75" x14ac:dyDescent="0.3">
      <c r="B13" s="94" t="s">
        <v>102</v>
      </c>
      <c r="C13" t="s">
        <v>107</v>
      </c>
    </row>
    <row r="14" spans="2:4" ht="18.75" x14ac:dyDescent="0.3">
      <c r="B14" s="94" t="s">
        <v>102</v>
      </c>
      <c r="C14" t="s">
        <v>118</v>
      </c>
    </row>
    <row r="15" spans="2:4" ht="18.75" x14ac:dyDescent="0.3">
      <c r="B15" s="94" t="s">
        <v>102</v>
      </c>
      <c r="C15" t="s">
        <v>108</v>
      </c>
    </row>
    <row r="16" spans="2:4" ht="18.75" x14ac:dyDescent="0.3">
      <c r="B16" s="94" t="s">
        <v>102</v>
      </c>
      <c r="C16" t="s">
        <v>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Fund Balance Projection</vt:lpstr>
      <vt:lpstr>Summary</vt:lpstr>
      <vt:lpstr>Assumptions</vt:lpstr>
      <vt:lpstr>'Fund Balance Projection'!Print_Area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April Kaech</cp:lastModifiedBy>
  <cp:lastPrinted>2010-02-05T00:40:01Z</cp:lastPrinted>
  <dcterms:created xsi:type="dcterms:W3CDTF">1998-01-11T12:15:28Z</dcterms:created>
  <dcterms:modified xsi:type="dcterms:W3CDTF">2025-10-01T22:58:15Z</dcterms:modified>
</cp:coreProperties>
</file>