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Business Manager Services\Business Mgmt. Services District Specific\North River\2024-25\Month End\July\"/>
    </mc:Choice>
  </mc:AlternateContent>
  <xr:revisionPtr revIDLastSave="0" documentId="13_ncr:1_{0F38C5BE-050D-415D-A1B4-42EB29291D14}" xr6:coauthVersionLast="47" xr6:coauthVersionMax="47" xr10:uidLastSave="{00000000-0000-0000-0000-000000000000}"/>
  <bookViews>
    <workbookView xWindow="28680" yWindow="-15" windowWidth="29040" windowHeight="15720" tabRatio="424" xr2:uid="{00000000-000D-0000-FFFF-FFFF00000000}"/>
  </bookViews>
  <sheets>
    <sheet name="Fund Balance Projection" sheetId="1" r:id="rId1"/>
    <sheet name="Summary" sheetId="2" r:id="rId2"/>
  </sheets>
  <definedNames>
    <definedName name="_xlnm.Print_Area" localSheetId="0">'Fund Balance Projection'!$A$1:$P$67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0" i="1"/>
  <c r="D48" i="1"/>
  <c r="O51" i="1"/>
  <c r="D9" i="1"/>
  <c r="N51" i="1"/>
  <c r="N39" i="1" l="1"/>
  <c r="N5" i="1"/>
  <c r="M51" i="1"/>
  <c r="M5" i="1" l="1"/>
  <c r="L5" i="2" s="1"/>
  <c r="L51" i="1"/>
  <c r="L39" i="1"/>
  <c r="K51" i="1"/>
  <c r="K39" i="1"/>
  <c r="K5" i="1"/>
  <c r="J5" i="2" s="1"/>
  <c r="J5" i="1"/>
  <c r="I5" i="2" s="1"/>
  <c r="J39" i="1"/>
  <c r="J51" i="1"/>
  <c r="I5" i="1"/>
  <c r="H5" i="2" s="1"/>
  <c r="H5" i="1"/>
  <c r="G5" i="2" s="1"/>
  <c r="G5" i="1"/>
  <c r="F5" i="2" s="1"/>
  <c r="F5" i="1"/>
  <c r="E5" i="2" s="1"/>
  <c r="H4" i="2"/>
  <c r="H51" i="1"/>
  <c r="G51" i="1"/>
  <c r="F51" i="1"/>
  <c r="E39" i="1"/>
  <c r="E51" i="1"/>
  <c r="E55" i="1"/>
  <c r="P54" i="1"/>
  <c r="P16" i="1"/>
  <c r="E4" i="2"/>
  <c r="F4" i="2"/>
  <c r="G4" i="2"/>
  <c r="I4" i="2"/>
  <c r="J4" i="2"/>
  <c r="K4" i="2"/>
  <c r="L4" i="2"/>
  <c r="M4" i="2"/>
  <c r="N4" i="2"/>
  <c r="O4" i="2"/>
  <c r="D4" i="2"/>
  <c r="E41" i="1"/>
  <c r="C8" i="2"/>
  <c r="B8" i="2"/>
  <c r="A1" i="2"/>
  <c r="P43" i="1"/>
  <c r="C5" i="2"/>
  <c r="D5" i="2"/>
  <c r="K5" i="2"/>
  <c r="M5" i="2"/>
  <c r="N5" i="2"/>
  <c r="O5" i="2"/>
  <c r="B5" i="2"/>
  <c r="P9" i="1"/>
  <c r="P24" i="1"/>
  <c r="P13" i="1"/>
  <c r="C56" i="1"/>
  <c r="B7" i="2" s="1"/>
  <c r="C61" i="1"/>
  <c r="C62" i="1" s="1"/>
  <c r="D61" i="1"/>
  <c r="D62" i="1" s="1"/>
  <c r="C35" i="1"/>
  <c r="C44" i="1" s="1"/>
  <c r="E58" i="1"/>
  <c r="P11" i="1"/>
  <c r="E35" i="1"/>
  <c r="F35" i="1"/>
  <c r="F44" i="1" s="1"/>
  <c r="F59" i="1" s="1"/>
  <c r="G35" i="1"/>
  <c r="G44" i="1" s="1"/>
  <c r="H35" i="1"/>
  <c r="H44" i="1" s="1"/>
  <c r="C60" i="1" l="1"/>
  <c r="E44" i="1"/>
  <c r="E59" i="1" s="1"/>
  <c r="E56" i="1"/>
  <c r="D7" i="2" s="1"/>
  <c r="E60" i="1"/>
  <c r="G59" i="1"/>
  <c r="F6" i="2"/>
  <c r="D6" i="2"/>
  <c r="F55" i="1"/>
  <c r="E6" i="2"/>
  <c r="C59" i="1"/>
  <c r="C63" i="1" s="1"/>
  <c r="B6" i="2"/>
  <c r="P10" i="1"/>
  <c r="P14" i="1"/>
  <c r="D35" i="1"/>
  <c r="D44" i="1" s="1"/>
  <c r="D59" i="1" s="1"/>
  <c r="P12" i="1"/>
  <c r="D56" i="1"/>
  <c r="G6" i="2"/>
  <c r="H59" i="1"/>
  <c r="P25" i="1"/>
  <c r="I35" i="1"/>
  <c r="E63" i="1" l="1"/>
  <c r="F58" i="1" s="1"/>
  <c r="F56" i="1"/>
  <c r="G55" i="1"/>
  <c r="H55" i="1" s="1"/>
  <c r="H56" i="1" s="1"/>
  <c r="B9" i="2"/>
  <c r="C69" i="1"/>
  <c r="C6" i="2"/>
  <c r="C7" i="2"/>
  <c r="D60" i="1"/>
  <c r="D63" i="1" s="1"/>
  <c r="C9" i="2" s="1"/>
  <c r="J35" i="1"/>
  <c r="J44" i="1" s="1"/>
  <c r="I6" i="2" s="1"/>
  <c r="I44" i="1"/>
  <c r="E69" i="1" l="1"/>
  <c r="D9" i="2"/>
  <c r="E7" i="2"/>
  <c r="F60" i="1"/>
  <c r="F63" i="1" s="1"/>
  <c r="G7" i="2"/>
  <c r="H60" i="1"/>
  <c r="G56" i="1"/>
  <c r="I55" i="1"/>
  <c r="D69" i="1"/>
  <c r="P40" i="1"/>
  <c r="P33" i="1"/>
  <c r="P20" i="1"/>
  <c r="P50" i="1"/>
  <c r="P41" i="1"/>
  <c r="P38" i="1"/>
  <c r="J59" i="1"/>
  <c r="P34" i="1"/>
  <c r="K35" i="1"/>
  <c r="K44" i="1" s="1"/>
  <c r="P30" i="1"/>
  <c r="P28" i="1"/>
  <c r="H6" i="2"/>
  <c r="I59" i="1"/>
  <c r="G60" i="1" l="1"/>
  <c r="F7" i="2"/>
  <c r="F69" i="1"/>
  <c r="E9" i="2"/>
  <c r="G58" i="1"/>
  <c r="I56" i="1"/>
  <c r="J55" i="1"/>
  <c r="L35" i="1"/>
  <c r="L44" i="1" s="1"/>
  <c r="P39" i="1"/>
  <c r="K59" i="1"/>
  <c r="J6" i="2"/>
  <c r="P29" i="1"/>
  <c r="P19" i="1"/>
  <c r="G63" i="1" l="1"/>
  <c r="F9" i="2" s="1"/>
  <c r="J56" i="1"/>
  <c r="H7" i="2"/>
  <c r="I60" i="1"/>
  <c r="K55" i="1"/>
  <c r="G69" i="1"/>
  <c r="H58" i="1"/>
  <c r="H63" i="1" s="1"/>
  <c r="L59" i="1"/>
  <c r="K6" i="2"/>
  <c r="P48" i="1"/>
  <c r="P51" i="1"/>
  <c r="P49" i="1"/>
  <c r="N32" i="1"/>
  <c r="M35" i="1"/>
  <c r="M44" i="1" s="1"/>
  <c r="M59" i="1" s="1"/>
  <c r="K56" i="1" l="1"/>
  <c r="G9" i="2"/>
  <c r="H69" i="1"/>
  <c r="I58" i="1"/>
  <c r="I63" i="1" s="1"/>
  <c r="L55" i="1"/>
  <c r="J60" i="1"/>
  <c r="I7" i="2"/>
  <c r="O35" i="1"/>
  <c r="O44" i="1" s="1"/>
  <c r="N6" i="2" s="1"/>
  <c r="P32" i="1"/>
  <c r="L6" i="2"/>
  <c r="P31" i="1"/>
  <c r="N35" i="1"/>
  <c r="N44" i="1" s="1"/>
  <c r="J58" i="1" l="1"/>
  <c r="J63" i="1" s="1"/>
  <c r="I69" i="1"/>
  <c r="H9" i="2"/>
  <c r="L56" i="1"/>
  <c r="M55" i="1"/>
  <c r="K60" i="1"/>
  <c r="J7" i="2"/>
  <c r="O59" i="1"/>
  <c r="P35" i="1"/>
  <c r="N59" i="1"/>
  <c r="M6" i="2"/>
  <c r="K7" i="2" l="1"/>
  <c r="L60" i="1"/>
  <c r="J69" i="1"/>
  <c r="K58" i="1"/>
  <c r="K63" i="1" s="1"/>
  <c r="I9" i="2"/>
  <c r="M56" i="1"/>
  <c r="N55" i="1"/>
  <c r="N56" i="1" s="1"/>
  <c r="P44" i="1"/>
  <c r="M7" i="2" l="1"/>
  <c r="N60" i="1"/>
  <c r="O55" i="1"/>
  <c r="M60" i="1"/>
  <c r="L7" i="2"/>
  <c r="L58" i="1"/>
  <c r="L63" i="1" s="1"/>
  <c r="K69" i="1"/>
  <c r="J9" i="2"/>
  <c r="P59" i="1"/>
  <c r="O6" i="2"/>
  <c r="O56" i="1" l="1"/>
  <c r="P55" i="1"/>
  <c r="K9" i="2"/>
  <c r="M58" i="1"/>
  <c r="M63" i="1" s="1"/>
  <c r="L69" i="1"/>
  <c r="P56" i="1" l="1"/>
  <c r="N58" i="1"/>
  <c r="N63" i="1" s="1"/>
  <c r="M69" i="1"/>
  <c r="L9" i="2"/>
  <c r="O60" i="1"/>
  <c r="N7" i="2"/>
  <c r="N69" i="1" l="1"/>
  <c r="M9" i="2"/>
  <c r="O58" i="1"/>
  <c r="O63" i="1" s="1"/>
  <c r="P60" i="1"/>
  <c r="O7" i="2"/>
  <c r="O69" i="1" l="1"/>
  <c r="N9" i="2"/>
  <c r="P58" i="1"/>
  <c r="P63" i="1" s="1"/>
  <c r="O9" i="2" l="1"/>
  <c r="P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Denise Wolff</author>
    <author>Julie Rupe</author>
  </authors>
  <commentList>
    <comment ref="C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Budgeted enrollment numbers.
</t>
        </r>
      </text>
    </comment>
    <comment ref="D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Insert the Average FTE
here and update monthly.
</t>
        </r>
      </text>
    </comment>
    <comment ref="C7" authorId="0" shapeId="0" xr:uid="{00000000-0006-0000-0000-000003000000}">
      <text>
        <r>
          <rPr>
            <sz val="9"/>
            <color indexed="81"/>
            <rFont val="Tahoma"/>
            <family val="2"/>
          </rPr>
          <t>This column is your budgeted figures.  It would only change if you did a budget extension</t>
        </r>
      </text>
    </comment>
    <comment ref="D7" authorId="0" shapeId="0" xr:uid="{00000000-0006-0000-0000-000004000000}">
      <text>
        <r>
          <rPr>
            <sz val="9"/>
            <color indexed="81"/>
            <rFont val="Tahoma"/>
            <family val="2"/>
          </rPr>
          <t>Sept. through Dec. this will reflect budget.  Starting in January, use the apportionment figures.  Only revenue flowing through OSPI belongs in this area.</t>
        </r>
      </text>
    </comment>
    <comment ref="E36" authorId="1" shapeId="0" xr:uid="{04B65095-5F0D-43A6-BD36-FC1A6C819444}">
      <text>
        <r>
          <rPr>
            <b/>
            <sz val="9"/>
            <color indexed="81"/>
            <rFont val="Tahoma"/>
            <family val="2"/>
          </rPr>
          <t>Julie Rupe:</t>
        </r>
        <r>
          <rPr>
            <sz val="9"/>
            <color indexed="81"/>
            <rFont val="Tahoma"/>
            <family val="2"/>
          </rPr>
          <t xml:space="preserve">
the formulas for tax collection is based on the percentages noted in the gray boxes.  You can update the % to match the historical collection percentage each month for your district
</t>
        </r>
      </text>
    </comment>
    <comment ref="D4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These columns should be adjusted as better estimates are determined.
</t>
        </r>
      </text>
    </comment>
    <comment ref="D58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This number is your ending fund balance from the prior year's F196 report.
</t>
        </r>
      </text>
    </comment>
    <comment ref="B61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Transfers and Redirections are not included in the expenditures.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Denise Wolff</author>
  </authors>
  <commentList>
    <comment ref="C3" authorId="0" shapeId="0" xr:uid="{00000000-0006-0000-0100-000004000000}">
      <text>
        <r>
          <rPr>
            <sz val="9"/>
            <color indexed="81"/>
            <rFont val="Tahoma"/>
            <family val="2"/>
          </rPr>
          <t>Sept. through Dec. this will reflect budget.  Starting in January, use the apportionment figures.  Only revenue flowing through OSPI belongs in this area.</t>
        </r>
      </text>
    </comment>
    <comment ref="C5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Insert the Average FTE
here and update monthly.
</t>
        </r>
      </text>
    </comment>
  </commentList>
</comments>
</file>

<file path=xl/sharedStrings.xml><?xml version="1.0" encoding="utf-8"?>
<sst xmlns="http://schemas.openxmlformats.org/spreadsheetml/2006/main" count="180" uniqueCount="124">
  <si>
    <t>Total Revenues</t>
  </si>
  <si>
    <t>Food Serv</t>
  </si>
  <si>
    <t>January</t>
  </si>
  <si>
    <t>February</t>
  </si>
  <si>
    <t>March</t>
  </si>
  <si>
    <t>April</t>
  </si>
  <si>
    <t>Annual Amt.</t>
  </si>
  <si>
    <t>September</t>
  </si>
  <si>
    <t>October</t>
  </si>
  <si>
    <t>November</t>
  </si>
  <si>
    <t>December</t>
  </si>
  <si>
    <t>Breakfast</t>
  </si>
  <si>
    <t>May</t>
  </si>
  <si>
    <t>June</t>
  </si>
  <si>
    <t>July</t>
  </si>
  <si>
    <t>August</t>
  </si>
  <si>
    <t>Fed Title I-51</t>
  </si>
  <si>
    <t>Original Budget</t>
  </si>
  <si>
    <t>Expenditures</t>
  </si>
  <si>
    <t>4158-02</t>
  </si>
  <si>
    <t>APPORTIONMENT</t>
  </si>
  <si>
    <t>Regular Apportionment</t>
  </si>
  <si>
    <t>Apport Spec Ed</t>
  </si>
  <si>
    <t>Special Ed</t>
  </si>
  <si>
    <t>Learning Assist</t>
  </si>
  <si>
    <t>Teacher A P</t>
  </si>
  <si>
    <t>Transportation</t>
  </si>
  <si>
    <t>Fed Title II -52</t>
  </si>
  <si>
    <t>Current</t>
  </si>
  <si>
    <t>Grant</t>
  </si>
  <si>
    <t>4158-06</t>
  </si>
  <si>
    <t>Truancy</t>
  </si>
  <si>
    <t>4158-07</t>
  </si>
  <si>
    <t>School Food-Federal</t>
  </si>
  <si>
    <t>Current Estimate</t>
  </si>
  <si>
    <t>2000 Local Deposits</t>
  </si>
  <si>
    <t>Plus Revenue</t>
  </si>
  <si>
    <t>Minus Expenditures</t>
  </si>
  <si>
    <t>Fund Balance Projection  (Apportionment Based)</t>
  </si>
  <si>
    <t>Check Total</t>
  </si>
  <si>
    <t>REVENUE</t>
  </si>
  <si>
    <t>ENROLLMENT</t>
  </si>
  <si>
    <t>Beginning Fund Balance</t>
  </si>
  <si>
    <t>June 6%</t>
  </si>
  <si>
    <t>August 10%</t>
  </si>
  <si>
    <t>December 9.%</t>
  </si>
  <si>
    <t>February 9.%</t>
  </si>
  <si>
    <t>March 9.%</t>
  </si>
  <si>
    <t>April 9.%</t>
  </si>
  <si>
    <t>September 9.%</t>
  </si>
  <si>
    <t>October 8.%</t>
  </si>
  <si>
    <t>January 8.5%</t>
  </si>
  <si>
    <t>May 5.0%</t>
  </si>
  <si>
    <t>July 12.5%</t>
  </si>
  <si>
    <t>November 5.%</t>
  </si>
  <si>
    <t xml:space="preserve">2300 Interest </t>
  </si>
  <si>
    <t>Line 002 F-197</t>
  </si>
  <si>
    <t xml:space="preserve"> Line 001 F-197</t>
  </si>
  <si>
    <t xml:space="preserve">Other deposits: </t>
  </si>
  <si>
    <t>Federal, State, Non SPI</t>
  </si>
  <si>
    <t>Adjustments</t>
  </si>
  <si>
    <t xml:space="preserve">Payroll - Certificated </t>
  </si>
  <si>
    <t>Object 2</t>
  </si>
  <si>
    <t xml:space="preserve">Payroll - Classified </t>
  </si>
  <si>
    <t>Object 3</t>
  </si>
  <si>
    <t xml:space="preserve">Benefits </t>
  </si>
  <si>
    <t>Object 4</t>
  </si>
  <si>
    <t xml:space="preserve">Accounts Payable </t>
  </si>
  <si>
    <t>Objects 5 through 9</t>
  </si>
  <si>
    <t>Other cash decreases</t>
  </si>
  <si>
    <t xml:space="preserve"> per county</t>
  </si>
  <si>
    <t xml:space="preserve">Total Expenditures  </t>
  </si>
  <si>
    <t>Transfers or</t>
  </si>
  <si>
    <t xml:space="preserve"> Redirection of Apportionment</t>
  </si>
  <si>
    <t xml:space="preserve">Plus or Minus </t>
  </si>
  <si>
    <t>Balance to Budget Status Report</t>
  </si>
  <si>
    <t>Balance to Apportionment report</t>
  </si>
  <si>
    <t>Other Large Expenditures</t>
  </si>
  <si>
    <t>Assigned Fund balance</t>
  </si>
  <si>
    <t>Committed Fund Balance</t>
  </si>
  <si>
    <t>Minimum Fund balance Policy</t>
  </si>
  <si>
    <t>Unassigned Fund Balance</t>
  </si>
  <si>
    <t>Fund Balance Classifications</t>
  </si>
  <si>
    <t>State Revenue</t>
  </si>
  <si>
    <t>Other Revenues</t>
  </si>
  <si>
    <t>Federal Revenue</t>
  </si>
  <si>
    <t>Commodities</t>
  </si>
  <si>
    <t>6998 Commodities</t>
  </si>
  <si>
    <t>year end journal entry</t>
  </si>
  <si>
    <t>add to the specific month</t>
  </si>
  <si>
    <t>4158-03</t>
  </si>
  <si>
    <t>NBCT</t>
  </si>
  <si>
    <t xml:space="preserve">Projected Ending Fund Balance </t>
  </si>
  <si>
    <t>Annual Projection</t>
  </si>
  <si>
    <t>SY 2023-24</t>
  </si>
  <si>
    <t xml:space="preserve">November </t>
  </si>
  <si>
    <t xml:space="preserve">December </t>
  </si>
  <si>
    <t xml:space="preserve">January </t>
  </si>
  <si>
    <t xml:space="preserve">March </t>
  </si>
  <si>
    <t xml:space="preserve">April </t>
  </si>
  <si>
    <t xml:space="preserve">July </t>
  </si>
  <si>
    <t xml:space="preserve">August </t>
  </si>
  <si>
    <t>Special Purpose</t>
  </si>
  <si>
    <t>SY 2024-25</t>
  </si>
  <si>
    <t>Fed Special ED-24</t>
  </si>
  <si>
    <t>Estimate</t>
  </si>
  <si>
    <t>State Funded TK</t>
  </si>
  <si>
    <t>6198-04</t>
  </si>
  <si>
    <t>4158-04</t>
  </si>
  <si>
    <t>1191 FG</t>
  </si>
  <si>
    <t>4198-06</t>
  </si>
  <si>
    <t>4198-07</t>
  </si>
  <si>
    <t>CEP Breakfast</t>
  </si>
  <si>
    <t>CEP Lunch</t>
  </si>
  <si>
    <t>Apportionment Totals</t>
  </si>
  <si>
    <t xml:space="preserve"> North River School District</t>
  </si>
  <si>
    <t>Actual</t>
  </si>
  <si>
    <t>Fed Title IV</t>
  </si>
  <si>
    <t>PY Fed Title IV</t>
  </si>
  <si>
    <t>G5 Small Rural School</t>
  </si>
  <si>
    <t>$400K or 2 mths exp (greater of)</t>
  </si>
  <si>
    <t>5204-62</t>
  </si>
  <si>
    <t>4158-01</t>
  </si>
  <si>
    <t>One time $50.00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</si>
</sst>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i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0"/>
      <color indexed="8"/>
      <name val="Tahoma"/>
      <family val="2"/>
    </font>
    <font>
      <sz val="9"/>
      <color indexed="81"/>
      <name val="Tahoma"/>
      <family val="2"/>
    </font>
    <font>
      <sz val="10"/>
      <color rgb="FF0070C0"/>
      <name val="Arial"/>
      <family val="2"/>
    </font>
    <font>
      <b/>
      <sz val="12"/>
      <color rgb="FF0000CC"/>
      <name val="Arial"/>
      <family val="2"/>
    </font>
    <font>
      <i/>
      <sz val="9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i/>
      <sz val="10"/>
      <color rgb="FF7030A0"/>
      <name val="Tahoma"/>
      <family val="2"/>
    </font>
    <font>
      <b/>
      <i/>
      <sz val="14"/>
      <color rgb="FF7030A0"/>
      <name val="Arial"/>
      <family val="2"/>
    </font>
    <font>
      <b/>
      <i/>
      <sz val="10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2" fillId="0" borderId="0" xfId="0" applyNumberFormat="1" applyFont="1"/>
    <xf numFmtId="43" fontId="2" fillId="0" borderId="0" xfId="1" applyFont="1"/>
    <xf numFmtId="164" fontId="6" fillId="0" borderId="0" xfId="1" applyNumberFormat="1" applyFont="1"/>
    <xf numFmtId="43" fontId="6" fillId="0" borderId="0" xfId="1" applyFont="1"/>
    <xf numFmtId="43" fontId="6" fillId="0" borderId="0" xfId="1" applyFont="1" applyAlignment="1">
      <alignment horizontal="left" indent="1"/>
    </xf>
    <xf numFmtId="4" fontId="3" fillId="0" borderId="3" xfId="1" applyNumberFormat="1" applyFont="1" applyBorder="1"/>
    <xf numFmtId="4" fontId="6" fillId="0" borderId="0" xfId="1" applyNumberFormat="1" applyFont="1"/>
    <xf numFmtId="4" fontId="6" fillId="0" borderId="0" xfId="0" applyNumberFormat="1" applyFont="1"/>
    <xf numFmtId="4" fontId="2" fillId="0" borderId="0" xfId="0" applyNumberFormat="1" applyFont="1"/>
    <xf numFmtId="0" fontId="13" fillId="0" borderId="0" xfId="0" applyFont="1"/>
    <xf numFmtId="164" fontId="13" fillId="0" borderId="0" xfId="1" applyNumberFormat="1" applyFont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43" fontId="7" fillId="2" borderId="3" xfId="1" applyFont="1" applyFill="1" applyBorder="1"/>
    <xf numFmtId="164" fontId="6" fillId="2" borderId="0" xfId="1" applyNumberFormat="1" applyFont="1" applyFill="1"/>
    <xf numFmtId="164" fontId="7" fillId="2" borderId="10" xfId="1" applyNumberFormat="1" applyFont="1" applyFill="1" applyBorder="1" applyAlignment="1">
      <alignment horizontal="center"/>
    </xf>
    <xf numFmtId="164" fontId="6" fillId="2" borderId="8" xfId="1" applyNumberFormat="1" applyFont="1" applyFill="1" applyBorder="1"/>
    <xf numFmtId="164" fontId="7" fillId="2" borderId="3" xfId="1" applyNumberFormat="1" applyFont="1" applyFill="1" applyBorder="1"/>
    <xf numFmtId="164" fontId="6" fillId="2" borderId="9" xfId="1" applyNumberFormat="1" applyFont="1" applyFill="1" applyBorder="1"/>
    <xf numFmtId="0" fontId="13" fillId="0" borderId="0" xfId="0" applyFont="1" applyAlignment="1">
      <alignment wrapText="1"/>
    </xf>
    <xf numFmtId="20" fontId="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164" fontId="7" fillId="2" borderId="0" xfId="1" applyNumberFormat="1" applyFont="1" applyFill="1" applyBorder="1"/>
    <xf numFmtId="0" fontId="6" fillId="0" borderId="13" xfId="0" applyFont="1" applyBorder="1" applyAlignment="1">
      <alignment wrapText="1"/>
    </xf>
    <xf numFmtId="0" fontId="4" fillId="0" borderId="0" xfId="0" applyFont="1"/>
    <xf numFmtId="0" fontId="12" fillId="0" borderId="0" xfId="0" applyFont="1"/>
    <xf numFmtId="164" fontId="7" fillId="0" borderId="0" xfId="1" applyNumberFormat="1" applyFont="1" applyBorder="1"/>
    <xf numFmtId="164" fontId="7" fillId="0" borderId="0" xfId="1" applyNumberFormat="1" applyFont="1" applyFill="1" applyBorder="1"/>
    <xf numFmtId="164" fontId="3" fillId="0" borderId="0" xfId="1" applyNumberFormat="1" applyFont="1" applyBorder="1"/>
    <xf numFmtId="0" fontId="8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64" fontId="6" fillId="0" borderId="3" xfId="1" applyNumberFormat="1" applyFont="1" applyBorder="1"/>
    <xf numFmtId="0" fontId="6" fillId="0" borderId="3" xfId="0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19" fillId="0" borderId="3" xfId="0" applyFont="1" applyBorder="1" applyAlignment="1">
      <alignment wrapText="1"/>
    </xf>
    <xf numFmtId="164" fontId="19" fillId="0" borderId="3" xfId="1" applyNumberFormat="1" applyFont="1" applyBorder="1"/>
    <xf numFmtId="164" fontId="20" fillId="0" borderId="3" xfId="1" applyNumberFormat="1" applyFont="1" applyBorder="1"/>
    <xf numFmtId="43" fontId="6" fillId="0" borderId="3" xfId="0" applyNumberFormat="1" applyFont="1" applyBorder="1"/>
    <xf numFmtId="0" fontId="1" fillId="0" borderId="3" xfId="0" applyFont="1" applyBorder="1" applyAlignment="1">
      <alignment wrapText="1"/>
    </xf>
    <xf numFmtId="0" fontId="7" fillId="0" borderId="3" xfId="0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0" xfId="0" applyFont="1"/>
    <xf numFmtId="164" fontId="3" fillId="0" borderId="0" xfId="1" applyNumberFormat="1" applyFont="1" applyFill="1" applyBorder="1"/>
    <xf numFmtId="164" fontId="4" fillId="0" borderId="3" xfId="0" applyNumberFormat="1" applyFont="1" applyBorder="1"/>
    <xf numFmtId="0" fontId="4" fillId="5" borderId="0" xfId="0" applyFont="1" applyFill="1" applyAlignment="1">
      <alignment wrapText="1"/>
    </xf>
    <xf numFmtId="0" fontId="17" fillId="5" borderId="0" xfId="0" applyFont="1" applyFill="1" applyAlignment="1">
      <alignment wrapText="1"/>
    </xf>
    <xf numFmtId="164" fontId="6" fillId="5" borderId="0" xfId="1" applyNumberFormat="1" applyFont="1" applyFill="1" applyBorder="1"/>
    <xf numFmtId="0" fontId="2" fillId="5" borderId="0" xfId="0" applyFont="1" applyFill="1"/>
    <xf numFmtId="0" fontId="0" fillId="5" borderId="0" xfId="0" applyFill="1"/>
    <xf numFmtId="17" fontId="7" fillId="0" borderId="10" xfId="1" applyNumberFormat="1" applyFont="1" applyFill="1" applyBorder="1" applyAlignment="1">
      <alignment horizontal="center"/>
    </xf>
    <xf numFmtId="43" fontId="1" fillId="2" borderId="3" xfId="1" applyFont="1" applyFill="1" applyBorder="1"/>
    <xf numFmtId="0" fontId="0" fillId="0" borderId="20" xfId="0" applyBorder="1"/>
    <xf numFmtId="0" fontId="2" fillId="0" borderId="20" xfId="0" applyFont="1" applyBorder="1"/>
    <xf numFmtId="0" fontId="6" fillId="0" borderId="3" xfId="0" applyFont="1" applyBorder="1" applyAlignment="1">
      <alignment wrapText="1"/>
    </xf>
    <xf numFmtId="0" fontId="8" fillId="0" borderId="10" xfId="0" applyFont="1" applyBorder="1" applyAlignment="1">
      <alignment wrapText="1"/>
    </xf>
    <xf numFmtId="43" fontId="7" fillId="2" borderId="10" xfId="1" applyFont="1" applyFill="1" applyBorder="1"/>
    <xf numFmtId="4" fontId="6" fillId="0" borderId="5" xfId="0" applyNumberFormat="1" applyFont="1" applyBorder="1"/>
    <xf numFmtId="4" fontId="2" fillId="0" borderId="5" xfId="0" applyNumberFormat="1" applyFont="1" applyBorder="1"/>
    <xf numFmtId="39" fontId="15" fillId="0" borderId="5" xfId="0" applyNumberFormat="1" applyFont="1" applyBorder="1"/>
    <xf numFmtId="39" fontId="15" fillId="0" borderId="1" xfId="0" applyNumberFormat="1" applyFont="1" applyBorder="1"/>
    <xf numFmtId="164" fontId="6" fillId="2" borderId="3" xfId="0" applyNumberFormat="1" applyFont="1" applyFill="1" applyBorder="1"/>
    <xf numFmtId="164" fontId="6" fillId="2" borderId="3" xfId="1" applyNumberFormat="1" applyFont="1" applyFill="1" applyBorder="1"/>
    <xf numFmtId="10" fontId="6" fillId="6" borderId="5" xfId="2" applyNumberFormat="1" applyFont="1" applyFill="1" applyBorder="1"/>
    <xf numFmtId="10" fontId="2" fillId="6" borderId="5" xfId="2" applyNumberFormat="1" applyFont="1" applyFill="1" applyBorder="1"/>
    <xf numFmtId="10" fontId="2" fillId="6" borderId="1" xfId="2" applyNumberFormat="1" applyFont="1" applyFill="1" applyBorder="1"/>
    <xf numFmtId="14" fontId="4" fillId="0" borderId="6" xfId="0" applyNumberFormat="1" applyFont="1" applyBorder="1" applyAlignment="1">
      <alignment wrapText="1"/>
    </xf>
    <xf numFmtId="4" fontId="2" fillId="4" borderId="3" xfId="0" applyNumberFormat="1" applyFont="1" applyFill="1" applyBorder="1"/>
    <xf numFmtId="39" fontId="15" fillId="4" borderId="3" xfId="0" applyNumberFormat="1" applyFont="1" applyFill="1" applyBorder="1"/>
    <xf numFmtId="39" fontId="15" fillId="4" borderId="3" xfId="0" applyNumberFormat="1" applyFont="1" applyFill="1" applyBorder="1" applyAlignment="1">
      <alignment horizontal="right"/>
    </xf>
    <xf numFmtId="164" fontId="7" fillId="0" borderId="27" xfId="1" applyNumberFormat="1" applyFont="1" applyBorder="1" applyAlignment="1">
      <alignment horizontal="center"/>
    </xf>
    <xf numFmtId="17" fontId="7" fillId="0" borderId="23" xfId="1" applyNumberFormat="1" applyFont="1" applyFill="1" applyBorder="1" applyAlignment="1">
      <alignment horizontal="center"/>
    </xf>
    <xf numFmtId="164" fontId="7" fillId="2" borderId="25" xfId="1" applyNumberFormat="1" applyFont="1" applyFill="1" applyBorder="1" applyAlignment="1">
      <alignment horizontal="center"/>
    </xf>
    <xf numFmtId="164" fontId="7" fillId="2" borderId="24" xfId="1" applyNumberFormat="1" applyFont="1" applyFill="1" applyBorder="1" applyAlignment="1">
      <alignment horizontal="center"/>
    </xf>
    <xf numFmtId="164" fontId="6" fillId="3" borderId="13" xfId="1" applyNumberFormat="1" applyFont="1" applyFill="1" applyBorder="1"/>
    <xf numFmtId="164" fontId="6" fillId="3" borderId="14" xfId="1" applyNumberFormat="1" applyFont="1" applyFill="1" applyBorder="1"/>
    <xf numFmtId="164" fontId="7" fillId="2" borderId="25" xfId="1" applyNumberFormat="1" applyFont="1" applyFill="1" applyBorder="1"/>
    <xf numFmtId="164" fontId="7" fillId="2" borderId="24" xfId="1" applyNumberFormat="1" applyFont="1" applyFill="1" applyBorder="1"/>
    <xf numFmtId="164" fontId="7" fillId="2" borderId="28" xfId="1" applyNumberFormat="1" applyFont="1" applyFill="1" applyBorder="1"/>
    <xf numFmtId="164" fontId="7" fillId="2" borderId="16" xfId="1" applyNumberFormat="1" applyFont="1" applyFill="1" applyBorder="1"/>
    <xf numFmtId="0" fontId="18" fillId="0" borderId="0" xfId="0" applyFont="1"/>
    <xf numFmtId="43" fontId="6" fillId="0" borderId="3" xfId="1" applyFont="1" applyBorder="1"/>
    <xf numFmtId="43" fontId="2" fillId="0" borderId="3" xfId="1" applyFont="1" applyBorder="1"/>
    <xf numFmtId="164" fontId="2" fillId="0" borderId="3" xfId="1" applyNumberFormat="1" applyFont="1" applyBorder="1"/>
    <xf numFmtId="4" fontId="6" fillId="0" borderId="3" xfId="1" applyNumberFormat="1" applyFont="1" applyBorder="1"/>
    <xf numFmtId="4" fontId="2" fillId="0" borderId="3" xfId="1" applyNumberFormat="1" applyFont="1" applyBorder="1"/>
    <xf numFmtId="43" fontId="11" fillId="0" borderId="3" xfId="1" applyFont="1" applyBorder="1"/>
    <xf numFmtId="43" fontId="5" fillId="0" borderId="3" xfId="1" applyFont="1" applyBorder="1"/>
    <xf numFmtId="164" fontId="1" fillId="3" borderId="0" xfId="1" applyNumberFormat="1" applyFont="1" applyFill="1" applyBorder="1"/>
    <xf numFmtId="164" fontId="1" fillId="2" borderId="1" xfId="1" applyNumberFormat="1" applyFont="1" applyFill="1" applyBorder="1"/>
    <xf numFmtId="164" fontId="1" fillId="2" borderId="3" xfId="1" applyNumberFormat="1" applyFont="1" applyFill="1" applyBorder="1"/>
    <xf numFmtId="164" fontId="1" fillId="2" borderId="19" xfId="1" applyNumberFormat="1" applyFont="1" applyFill="1" applyBorder="1"/>
    <xf numFmtId="164" fontId="7" fillId="2" borderId="29" xfId="1" applyNumberFormat="1" applyFont="1" applyFill="1" applyBorder="1"/>
    <xf numFmtId="164" fontId="7" fillId="2" borderId="14" xfId="1" applyNumberFormat="1" applyFont="1" applyFill="1" applyBorder="1"/>
    <xf numFmtId="164" fontId="1" fillId="2" borderId="30" xfId="1" applyNumberFormat="1" applyFont="1" applyFill="1" applyBorder="1"/>
    <xf numFmtId="0" fontId="23" fillId="0" borderId="0" xfId="0" applyFont="1"/>
    <xf numFmtId="0" fontId="25" fillId="0" borderId="0" xfId="0" applyFont="1"/>
    <xf numFmtId="0" fontId="24" fillId="0" borderId="0" xfId="0" applyFont="1" applyAlignment="1">
      <alignment horizontal="center" wrapText="1"/>
    </xf>
    <xf numFmtId="164" fontId="25" fillId="2" borderId="0" xfId="1" applyNumberFormat="1" applyFont="1" applyFill="1" applyBorder="1"/>
    <xf numFmtId="164" fontId="25" fillId="0" borderId="0" xfId="1" applyNumberFormat="1" applyFont="1" applyBorder="1"/>
    <xf numFmtId="4" fontId="7" fillId="0" borderId="10" xfId="1" applyNumberFormat="1" applyFont="1" applyBorder="1"/>
    <xf numFmtId="164" fontId="7" fillId="0" borderId="30" xfId="1" applyNumberFormat="1" applyFont="1" applyBorder="1"/>
    <xf numFmtId="164" fontId="7" fillId="0" borderId="30" xfId="1" applyNumberFormat="1" applyFont="1" applyFill="1" applyBorder="1"/>
    <xf numFmtId="164" fontId="3" fillId="0" borderId="30" xfId="1" applyNumberFormat="1" applyFont="1" applyBorder="1"/>
    <xf numFmtId="164" fontId="3" fillId="0" borderId="14" xfId="1" applyNumberFormat="1" applyFont="1" applyBorder="1"/>
    <xf numFmtId="4" fontId="7" fillId="0" borderId="31" xfId="1" applyNumberFormat="1" applyFont="1" applyFill="1" applyBorder="1"/>
    <xf numFmtId="164" fontId="7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32" xfId="1" applyNumberFormat="1" applyFont="1" applyBorder="1" applyAlignment="1">
      <alignment horizontal="center"/>
    </xf>
    <xf numFmtId="43" fontId="7" fillId="0" borderId="1" xfId="1" applyFont="1" applyBorder="1"/>
    <xf numFmtId="164" fontId="6" fillId="0" borderId="1" xfId="1" applyNumberFormat="1" applyFont="1" applyBorder="1"/>
    <xf numFmtId="4" fontId="6" fillId="0" borderId="1" xfId="1" applyNumberFormat="1" applyFont="1" applyBorder="1"/>
    <xf numFmtId="164" fontId="6" fillId="0" borderId="3" xfId="1" applyNumberFormat="1" applyFont="1" applyFill="1" applyBorder="1"/>
    <xf numFmtId="0" fontId="6" fillId="0" borderId="3" xfId="0" applyFont="1" applyBorder="1" applyAlignment="1">
      <alignment horizontal="left" wrapText="1"/>
    </xf>
    <xf numFmtId="0" fontId="4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164" fontId="7" fillId="0" borderId="18" xfId="1" applyNumberFormat="1" applyFont="1" applyFill="1" applyBorder="1"/>
    <xf numFmtId="164" fontId="7" fillId="0" borderId="23" xfId="1" applyNumberFormat="1" applyFont="1" applyFill="1" applyBorder="1"/>
    <xf numFmtId="0" fontId="6" fillId="0" borderId="25" xfId="0" applyFont="1" applyBorder="1" applyAlignment="1">
      <alignment wrapText="1"/>
    </xf>
    <xf numFmtId="164" fontId="6" fillId="0" borderId="24" xfId="1" applyNumberFormat="1" applyFont="1" applyFill="1" applyBorder="1"/>
    <xf numFmtId="0" fontId="8" fillId="0" borderId="25" xfId="0" applyFont="1" applyBorder="1" applyAlignment="1">
      <alignment wrapText="1"/>
    </xf>
    <xf numFmtId="2" fontId="6" fillId="0" borderId="24" xfId="0" applyNumberFormat="1" applyFont="1" applyBorder="1"/>
    <xf numFmtId="0" fontId="1" fillId="0" borderId="25" xfId="0" applyFont="1" applyBorder="1" applyAlignment="1">
      <alignment wrapText="1"/>
    </xf>
    <xf numFmtId="14" fontId="4" fillId="0" borderId="11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wrapText="1"/>
    </xf>
    <xf numFmtId="164" fontId="7" fillId="2" borderId="33" xfId="1" applyNumberFormat="1" applyFont="1" applyFill="1" applyBorder="1" applyAlignment="1">
      <alignment horizontal="center"/>
    </xf>
    <xf numFmtId="164" fontId="7" fillId="2" borderId="34" xfId="1" applyNumberFormat="1" applyFont="1" applyFill="1" applyBorder="1" applyAlignment="1">
      <alignment horizontal="center"/>
    </xf>
    <xf numFmtId="164" fontId="6" fillId="2" borderId="35" xfId="1" applyNumberFormat="1" applyFont="1" applyFill="1" applyBorder="1"/>
    <xf numFmtId="0" fontId="1" fillId="0" borderId="36" xfId="0" applyFont="1" applyBorder="1" applyAlignment="1">
      <alignment wrapText="1"/>
    </xf>
    <xf numFmtId="164" fontId="7" fillId="4" borderId="24" xfId="0" applyNumberFormat="1" applyFont="1" applyFill="1" applyBorder="1"/>
    <xf numFmtId="164" fontId="7" fillId="4" borderId="24" xfId="1" applyNumberFormat="1" applyFont="1" applyFill="1" applyBorder="1"/>
    <xf numFmtId="0" fontId="1" fillId="0" borderId="37" xfId="0" applyFont="1" applyBorder="1" applyAlignment="1">
      <alignment wrapText="1"/>
    </xf>
    <xf numFmtId="14" fontId="4" fillId="0" borderId="10" xfId="0" applyNumberFormat="1" applyFont="1" applyBorder="1" applyAlignment="1">
      <alignment wrapText="1"/>
    </xf>
    <xf numFmtId="20" fontId="4" fillId="0" borderId="10" xfId="0" applyNumberFormat="1" applyFont="1" applyBorder="1" applyAlignment="1">
      <alignment wrapText="1"/>
    </xf>
    <xf numFmtId="20" fontId="4" fillId="0" borderId="12" xfId="0" applyNumberFormat="1" applyFont="1" applyBorder="1" applyAlignment="1">
      <alignment wrapText="1"/>
    </xf>
    <xf numFmtId="164" fontId="7" fillId="0" borderId="33" xfId="1" applyNumberFormat="1" applyFont="1" applyFill="1" applyBorder="1" applyAlignment="1">
      <alignment horizontal="center"/>
    </xf>
    <xf numFmtId="17" fontId="7" fillId="0" borderId="34" xfId="1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left" wrapText="1"/>
    </xf>
    <xf numFmtId="43" fontId="7" fillId="4" borderId="24" xfId="1" applyFont="1" applyFill="1" applyBorder="1"/>
    <xf numFmtId="43" fontId="1" fillId="4" borderId="24" xfId="1" applyFont="1" applyFill="1" applyBorder="1"/>
    <xf numFmtId="0" fontId="1" fillId="0" borderId="38" xfId="0" applyFont="1" applyBorder="1" applyAlignment="1">
      <alignment horizontal="left" wrapText="1"/>
    </xf>
    <xf numFmtId="0" fontId="8" fillId="0" borderId="31" xfId="0" applyFont="1" applyBorder="1" applyAlignment="1">
      <alignment wrapText="1"/>
    </xf>
    <xf numFmtId="43" fontId="7" fillId="0" borderId="10" xfId="1" applyFont="1" applyFill="1" applyBorder="1"/>
    <xf numFmtId="0" fontId="4" fillId="5" borderId="7" xfId="0" applyFont="1" applyFill="1" applyBorder="1" applyAlignment="1">
      <alignment wrapText="1"/>
    </xf>
    <xf numFmtId="164" fontId="7" fillId="2" borderId="8" xfId="1" applyNumberFormat="1" applyFont="1" applyFill="1" applyBorder="1"/>
    <xf numFmtId="14" fontId="4" fillId="0" borderId="27" xfId="0" applyNumberFormat="1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4" fillId="5" borderId="15" xfId="0" applyFont="1" applyFill="1" applyBorder="1" applyAlignment="1">
      <alignment wrapText="1"/>
    </xf>
    <xf numFmtId="0" fontId="4" fillId="5" borderId="41" xfId="0" applyFont="1" applyFill="1" applyBorder="1" applyAlignment="1">
      <alignment wrapText="1"/>
    </xf>
    <xf numFmtId="164" fontId="7" fillId="2" borderId="42" xfId="1" applyNumberFormat="1" applyFont="1" applyFill="1" applyBorder="1"/>
    <xf numFmtId="164" fontId="7" fillId="0" borderId="43" xfId="1" applyNumberFormat="1" applyFont="1" applyBorder="1"/>
    <xf numFmtId="0" fontId="1" fillId="0" borderId="1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164" fontId="6" fillId="2" borderId="42" xfId="1" applyNumberFormat="1" applyFont="1" applyFill="1" applyBorder="1"/>
    <xf numFmtId="164" fontId="7" fillId="4" borderId="43" xfId="1" applyNumberFormat="1" applyFont="1" applyFill="1" applyBorder="1"/>
    <xf numFmtId="0" fontId="4" fillId="5" borderId="21" xfId="0" applyFont="1" applyFill="1" applyBorder="1" applyAlignment="1">
      <alignment wrapText="1"/>
    </xf>
    <xf numFmtId="0" fontId="4" fillId="5" borderId="44" xfId="0" applyFont="1" applyFill="1" applyBorder="1" applyAlignment="1">
      <alignment wrapText="1"/>
    </xf>
    <xf numFmtId="164" fontId="7" fillId="2" borderId="45" xfId="1" applyNumberFormat="1" applyFont="1" applyFill="1" applyBorder="1"/>
    <xf numFmtId="164" fontId="7" fillId="2" borderId="22" xfId="1" applyNumberFormat="1" applyFont="1" applyFill="1" applyBorder="1"/>
    <xf numFmtId="43" fontId="7" fillId="0" borderId="45" xfId="1" applyFont="1" applyFill="1" applyBorder="1"/>
    <xf numFmtId="43" fontId="7" fillId="2" borderId="46" xfId="1" applyFont="1" applyFill="1" applyBorder="1"/>
    <xf numFmtId="0" fontId="4" fillId="5" borderId="13" xfId="0" applyFont="1" applyFill="1" applyBorder="1" applyAlignment="1">
      <alignment wrapText="1"/>
    </xf>
    <xf numFmtId="164" fontId="7" fillId="0" borderId="35" xfId="1" applyNumberFormat="1" applyFont="1" applyBorder="1"/>
    <xf numFmtId="0" fontId="1" fillId="7" borderId="25" xfId="0" applyFont="1" applyFill="1" applyBorder="1" applyAlignment="1">
      <alignment horizontal="left" wrapText="1"/>
    </xf>
    <xf numFmtId="0" fontId="8" fillId="7" borderId="3" xfId="0" applyFont="1" applyFill="1" applyBorder="1" applyAlignment="1">
      <alignment wrapText="1"/>
    </xf>
    <xf numFmtId="43" fontId="7" fillId="7" borderId="3" xfId="1" applyFont="1" applyFill="1" applyBorder="1"/>
    <xf numFmtId="43" fontId="7" fillId="7" borderId="24" xfId="1" applyFont="1" applyFill="1" applyBorder="1"/>
    <xf numFmtId="0" fontId="4" fillId="4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4" fontId="1" fillId="8" borderId="3" xfId="0" applyNumberFormat="1" applyFont="1" applyFill="1" applyBorder="1"/>
    <xf numFmtId="4" fontId="9" fillId="8" borderId="1" xfId="1" applyNumberFormat="1" applyFont="1" applyFill="1" applyBorder="1"/>
    <xf numFmtId="4" fontId="2" fillId="8" borderId="3" xfId="0" applyNumberFormat="1" applyFont="1" applyFill="1" applyBorder="1"/>
    <xf numFmtId="4" fontId="8" fillId="8" borderId="1" xfId="0" applyNumberFormat="1" applyFont="1" applyFill="1" applyBorder="1"/>
    <xf numFmtId="4" fontId="6" fillId="8" borderId="1" xfId="1" applyNumberFormat="1" applyFont="1" applyFill="1" applyBorder="1"/>
    <xf numFmtId="4" fontId="7" fillId="8" borderId="31" xfId="1" applyNumberFormat="1" applyFont="1" applyFill="1" applyBorder="1"/>
    <xf numFmtId="4" fontId="2" fillId="8" borderId="1" xfId="0" applyNumberFormat="1" applyFont="1" applyFill="1" applyBorder="1"/>
    <xf numFmtId="0" fontId="6" fillId="8" borderId="0" xfId="1" applyNumberFormat="1" applyFont="1" applyFill="1" applyBorder="1" applyAlignment="1">
      <alignment horizontal="center"/>
    </xf>
    <xf numFmtId="4" fontId="9" fillId="8" borderId="3" xfId="1" applyNumberFormat="1" applyFont="1" applyFill="1" applyBorder="1"/>
    <xf numFmtId="0" fontId="6" fillId="8" borderId="0" xfId="1" applyNumberFormat="1" applyFont="1" applyFill="1" applyBorder="1"/>
    <xf numFmtId="4" fontId="8" fillId="8" borderId="3" xfId="0" applyNumberFormat="1" applyFont="1" applyFill="1" applyBorder="1"/>
    <xf numFmtId="4" fontId="6" fillId="8" borderId="3" xfId="1" applyNumberFormat="1" applyFont="1" applyFill="1" applyBorder="1"/>
    <xf numFmtId="4" fontId="6" fillId="8" borderId="3" xfId="0" applyNumberFormat="1" applyFont="1" applyFill="1" applyBorder="1"/>
    <xf numFmtId="4" fontId="1" fillId="9" borderId="0" xfId="1" applyNumberFormat="1" applyFont="1" applyFill="1"/>
    <xf numFmtId="4" fontId="7" fillId="8" borderId="10" xfId="1" applyNumberFormat="1" applyFont="1" applyFill="1" applyBorder="1"/>
    <xf numFmtId="43" fontId="1" fillId="5" borderId="0" xfId="1" applyFont="1" applyFill="1" applyBorder="1"/>
    <xf numFmtId="4" fontId="7" fillId="8" borderId="3" xfId="1" applyNumberFormat="1" applyFont="1" applyFill="1" applyBorder="1"/>
    <xf numFmtId="0" fontId="2" fillId="8" borderId="0" xfId="0" applyFont="1" applyFill="1"/>
    <xf numFmtId="2" fontId="6" fillId="8" borderId="0" xfId="1" applyNumberFormat="1" applyFont="1" applyFill="1" applyBorder="1" applyAlignment="1">
      <alignment horizontal="center"/>
    </xf>
    <xf numFmtId="2" fontId="6" fillId="8" borderId="0" xfId="1" applyNumberFormat="1" applyFont="1" applyFill="1" applyBorder="1"/>
    <xf numFmtId="0" fontId="6" fillId="8" borderId="0" xfId="0" applyFont="1" applyFill="1"/>
    <xf numFmtId="43" fontId="4" fillId="4" borderId="24" xfId="1" applyFont="1" applyFill="1" applyBorder="1"/>
    <xf numFmtId="43" fontId="4" fillId="4" borderId="39" xfId="1" applyFont="1" applyFill="1" applyBorder="1"/>
    <xf numFmtId="4" fontId="3" fillId="8" borderId="3" xfId="1" applyNumberFormat="1" applyFont="1" applyFill="1" applyBorder="1"/>
    <xf numFmtId="39" fontId="15" fillId="8" borderId="3" xfId="0" applyNumberFormat="1" applyFont="1" applyFill="1" applyBorder="1"/>
    <xf numFmtId="39" fontId="15" fillId="8" borderId="3" xfId="0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Percent" xfId="2" builtinId="5"/>
    <cellStyle name="Percent 2" xfId="3" xr:uid="{15A1AF81-ACED-49D9-9BDB-85CAFF2A4CD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Budget</a:t>
            </a:r>
            <a:r>
              <a:rPr lang="en-US" baseline="0"/>
              <a:t> to Actual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Summary!$B$3:$B$4</c:f>
              <c:strCache>
                <c:ptCount val="2"/>
                <c:pt idx="0">
                  <c:v> Original Budget </c:v>
                </c:pt>
                <c:pt idx="1">
                  <c:v> Annual Amt.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Summary!$A$5:$A$9</c15:sqref>
                  </c15:fullRef>
                </c:ext>
              </c:extLst>
              <c:f>(Summary!$A$6:$A$7,Summary!$A$9)</c:f>
              <c:strCache>
                <c:ptCount val="3"/>
                <c:pt idx="0">
                  <c:v>Total Revenues</c:v>
                </c:pt>
                <c:pt idx="1">
                  <c:v>Total Expenditures  </c:v>
                </c:pt>
                <c:pt idx="2">
                  <c:v>Projected Ending Fund Balance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Summary!$B$5:$B$9</c15:sqref>
                  </c15:fullRef>
                </c:ext>
              </c:extLst>
              <c:f>(Summary!$B$6:$B$7,Summary!$B$9)</c:f>
              <c:numCache>
                <c:formatCode>_(* #,##0_);_(* \(#,##0\);_(* "-"??_);_(@_)</c:formatCode>
                <c:ptCount val="3"/>
                <c:pt idx="0">
                  <c:v>2544227</c:v>
                </c:pt>
                <c:pt idx="1">
                  <c:v>2761587</c:v>
                </c:pt>
                <c:pt idx="2">
                  <c:v>233640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6-4B2D-B3C4-D045C0CBAAAD}"/>
            </c:ext>
          </c:extLst>
        </c:ser>
        <c:ser>
          <c:idx val="1"/>
          <c:order val="1"/>
          <c:tx>
            <c:strRef>
              <c:f>Summary!$C$3:$C$4</c:f>
              <c:strCache>
                <c:ptCount val="2"/>
                <c:pt idx="0">
                  <c:v>Current</c:v>
                </c:pt>
                <c:pt idx="1">
                  <c:v> Annual Projection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Summary!$A$5:$A$9</c15:sqref>
                  </c15:fullRef>
                </c:ext>
              </c:extLst>
              <c:f>(Summary!$A$6:$A$7,Summary!$A$9)</c:f>
              <c:strCache>
                <c:ptCount val="3"/>
                <c:pt idx="0">
                  <c:v>Total Revenues</c:v>
                </c:pt>
                <c:pt idx="1">
                  <c:v>Total Expenditures  </c:v>
                </c:pt>
                <c:pt idx="2">
                  <c:v>Projected Ending Fund Balance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Summary!$C$5:$C$9</c15:sqref>
                  </c15:fullRef>
                </c:ext>
              </c:extLst>
              <c:f>(Summary!$C$6:$C$7,Summary!$C$9)</c:f>
              <c:numCache>
                <c:formatCode>_(* #,##0_);_(* \(#,##0\);_(* "-"??_);_(@_)</c:formatCode>
                <c:ptCount val="3"/>
                <c:pt idx="0">
                  <c:v>2599790.6000000006</c:v>
                </c:pt>
                <c:pt idx="1">
                  <c:v>2570793.810909091</c:v>
                </c:pt>
                <c:pt idx="2">
                  <c:v>589139.78909090953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6-4B2D-B3C4-D045C0CB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33872"/>
        <c:axId val="42816304"/>
      </c:barChart>
      <c:catAx>
        <c:axId val="3943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6304"/>
        <c:crosses val="autoZero"/>
        <c:auto val="1"/>
        <c:lblAlgn val="ctr"/>
        <c:lblOffset val="100"/>
        <c:noMultiLvlLbl val="0"/>
      </c:catAx>
      <c:valAx>
        <c:axId val="4281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  <a:r>
              <a:rPr lang="en-US" baseline="0"/>
              <a:t> to Expenditure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Summary!$A$6</c:f>
              <c:strCache>
                <c:ptCount val="1"/>
                <c:pt idx="0">
                  <c:v>Total Revenues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Summary!$B$3:$O$4</c15:sqref>
                  </c15:fullRef>
                  <c15:levelRef>
                    <c15:sqref>Summary!$B$3:$O$3</c15:sqref>
                  </c15:levelRef>
                </c:ext>
              </c:extLst>
              <c:f>Summary!$D$3:$O$3</c:f>
              <c:strCache>
                <c:ptCount val="12"/>
                <c:pt idx="0">
                  <c:v> September </c:v>
                </c:pt>
                <c:pt idx="1">
                  <c:v> October </c:v>
                </c:pt>
                <c:pt idx="2">
                  <c:v> November  </c:v>
                </c:pt>
                <c:pt idx="3">
                  <c:v> December  </c:v>
                </c:pt>
                <c:pt idx="4">
                  <c:v>January </c:v>
                </c:pt>
                <c:pt idx="5">
                  <c:v>February</c:v>
                </c:pt>
                <c:pt idx="6">
                  <c:v>March </c:v>
                </c:pt>
                <c:pt idx="7">
                  <c:v>April </c:v>
                </c:pt>
                <c:pt idx="8">
                  <c:v>May</c:v>
                </c:pt>
                <c:pt idx="9">
                  <c:v>June</c:v>
                </c:pt>
                <c:pt idx="10">
                  <c:v>July </c:v>
                </c:pt>
                <c:pt idx="11">
                  <c:v>August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Summary!$B$6:$O$6</c15:sqref>
                  </c15:fullRef>
                </c:ext>
              </c:extLst>
              <c:f>Summary!$D$6:$O$6</c:f>
              <c:numCache>
                <c:formatCode>_(* #,##0_);_(* \(#,##0\);_(* "-"??_);_(@_)</c:formatCode>
                <c:ptCount val="12"/>
                <c:pt idx="0">
                  <c:v>228164.88</c:v>
                </c:pt>
                <c:pt idx="1">
                  <c:v>209050.36999999994</c:v>
                </c:pt>
                <c:pt idx="2">
                  <c:v>154350.55000000002</c:v>
                </c:pt>
                <c:pt idx="3">
                  <c:v>231483.14999999997</c:v>
                </c:pt>
                <c:pt idx="4">
                  <c:v>218673.45</c:v>
                </c:pt>
                <c:pt idx="5">
                  <c:v>206865.94</c:v>
                </c:pt>
                <c:pt idx="6">
                  <c:v>250374.88999999998</c:v>
                </c:pt>
                <c:pt idx="7">
                  <c:v>222746.34999999998</c:v>
                </c:pt>
                <c:pt idx="8">
                  <c:v>132484.58999999997</c:v>
                </c:pt>
                <c:pt idx="9">
                  <c:v>174867.64</c:v>
                </c:pt>
                <c:pt idx="10">
                  <c:v>315276.94000000006</c:v>
                </c:pt>
                <c:pt idx="11">
                  <c:v>255451.84999999966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E-4479-9FC5-E497F05AC074}"/>
            </c:ext>
          </c:extLst>
        </c:ser>
        <c:ser>
          <c:idx val="2"/>
          <c:order val="2"/>
          <c:tx>
            <c:strRef>
              <c:f>Summary!$A$7</c:f>
              <c:strCache>
                <c:ptCount val="1"/>
                <c:pt idx="0">
                  <c:v>Total Expenditures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Summary!$B$3:$O$4</c15:sqref>
                  </c15:fullRef>
                  <c15:levelRef>
                    <c15:sqref>Summary!$B$3:$O$3</c15:sqref>
                  </c15:levelRef>
                </c:ext>
              </c:extLst>
              <c:f>Summary!$D$3:$O$3</c:f>
              <c:strCache>
                <c:ptCount val="12"/>
                <c:pt idx="0">
                  <c:v> September </c:v>
                </c:pt>
                <c:pt idx="1">
                  <c:v> October </c:v>
                </c:pt>
                <c:pt idx="2">
                  <c:v> November  </c:v>
                </c:pt>
                <c:pt idx="3">
                  <c:v> December  </c:v>
                </c:pt>
                <c:pt idx="4">
                  <c:v>January </c:v>
                </c:pt>
                <c:pt idx="5">
                  <c:v>February</c:v>
                </c:pt>
                <c:pt idx="6">
                  <c:v>March </c:v>
                </c:pt>
                <c:pt idx="7">
                  <c:v>April </c:v>
                </c:pt>
                <c:pt idx="8">
                  <c:v>May</c:v>
                </c:pt>
                <c:pt idx="9">
                  <c:v>June</c:v>
                </c:pt>
                <c:pt idx="10">
                  <c:v>July </c:v>
                </c:pt>
                <c:pt idx="11">
                  <c:v>August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Summary!$B$7:$O$7</c15:sqref>
                  </c15:fullRef>
                </c:ext>
              </c:extLst>
              <c:f>Summary!$D$7:$O$7</c:f>
              <c:numCache>
                <c:formatCode>_(* #,##0_);_(* \(#,##0\);_(* "-"??_);_(@_)</c:formatCode>
                <c:ptCount val="12"/>
                <c:pt idx="0">
                  <c:v>264934.42</c:v>
                </c:pt>
                <c:pt idx="1">
                  <c:v>205999.7</c:v>
                </c:pt>
                <c:pt idx="2">
                  <c:v>202812.32</c:v>
                </c:pt>
                <c:pt idx="3">
                  <c:v>183492.72</c:v>
                </c:pt>
                <c:pt idx="4">
                  <c:v>174125.29</c:v>
                </c:pt>
                <c:pt idx="5">
                  <c:v>203878.61</c:v>
                </c:pt>
                <c:pt idx="6">
                  <c:v>184558.41</c:v>
                </c:pt>
                <c:pt idx="7">
                  <c:v>358565.98</c:v>
                </c:pt>
                <c:pt idx="8">
                  <c:v>217811.58</c:v>
                </c:pt>
                <c:pt idx="9">
                  <c:v>206656.58000000002</c:v>
                </c:pt>
                <c:pt idx="10">
                  <c:v>170688.28000000003</c:v>
                </c:pt>
                <c:pt idx="11">
                  <c:v>197269.92090909096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E-4479-9FC5-E497F05A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62752"/>
        <c:axId val="1754329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Summary!$A$5</c15:sqref>
                        </c15:formulaRef>
                      </c:ext>
                    </c:extLst>
                    <c:strCache>
                      <c:ptCount val="1"/>
                      <c:pt idx="0">
                        <c:v>ENROLLMENT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Summary!$B$3:$O$4</c15:sqref>
                        </c15:fullRef>
                        <c15:levelRef>
                          <c15:sqref>Summary!$B$3:$O$3</c15:sqref>
                        </c15:levelRef>
                        <c15:formulaRef>
                          <c15:sqref>Summary!$D$3:$O$3</c15:sqref>
                        </c15:formulaRef>
                      </c:ext>
                    </c:extLst>
                    <c:strCache>
                      <c:ptCount val="12"/>
                      <c:pt idx="0">
                        <c:v> September </c:v>
                      </c:pt>
                      <c:pt idx="1">
                        <c:v> October </c:v>
                      </c:pt>
                      <c:pt idx="2">
                        <c:v> November  </c:v>
                      </c:pt>
                      <c:pt idx="3">
                        <c:v> December  </c:v>
                      </c:pt>
                      <c:pt idx="4">
                        <c:v>January </c:v>
                      </c:pt>
                      <c:pt idx="5">
                        <c:v>February</c:v>
                      </c:pt>
                      <c:pt idx="6">
                        <c:v>March </c:v>
                      </c:pt>
                      <c:pt idx="7">
                        <c:v>April </c:v>
                      </c:pt>
                      <c:pt idx="8">
                        <c:v>May</c:v>
                      </c:pt>
                      <c:pt idx="9">
                        <c:v>June</c:v>
                      </c:pt>
                      <c:pt idx="10">
                        <c:v>July </c:v>
                      </c:pt>
                      <c:pt idx="11">
                        <c:v>August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Summary!$B$5:$O$5</c15:sqref>
                        </c15:fullRef>
                        <c15:formulaRef>
                          <c15:sqref>Summary!$D$5:$O$5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48.75</c:v>
                      </c:pt>
                      <c:pt idx="1">
                        <c:v>56</c:v>
                      </c:pt>
                      <c:pt idx="2">
                        <c:v>54.879999999999995</c:v>
                      </c:pt>
                      <c:pt idx="3">
                        <c:v>53</c:v>
                      </c:pt>
                      <c:pt idx="4">
                        <c:v>53.66</c:v>
                      </c:pt>
                      <c:pt idx="5">
                        <c:v>52.459999999999994</c:v>
                      </c:pt>
                      <c:pt idx="6">
                        <c:v>50.459999999999994</c:v>
                      </c:pt>
                      <c:pt idx="7">
                        <c:v>50.46</c:v>
                      </c:pt>
                      <c:pt idx="8">
                        <c:v>49.56</c:v>
                      </c:pt>
                      <c:pt idx="9">
                        <c:v>48.56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0BE-4479-9FC5-E497F05AC07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Summary!$A$9</c15:sqref>
                        </c15:formulaRef>
                      </c:ext>
                    </c:extLst>
                    <c:strCache>
                      <c:ptCount val="1"/>
                      <c:pt idx="0">
                        <c:v>Projected Ending Fund Balance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Summary!$B$3:$O$4</c15:sqref>
                        </c15:fullRef>
                        <c15:levelRef>
                          <c15:sqref>Summary!$B$3:$O$3</c15:sqref>
                        </c15:levelRef>
                        <c15:formulaRef>
                          <c15:sqref>Summary!$D$3:$O$3</c15:sqref>
                        </c15:formulaRef>
                      </c:ext>
                    </c:extLst>
                    <c:strCache>
                      <c:ptCount val="12"/>
                      <c:pt idx="0">
                        <c:v> September </c:v>
                      </c:pt>
                      <c:pt idx="1">
                        <c:v> October </c:v>
                      </c:pt>
                      <c:pt idx="2">
                        <c:v> November  </c:v>
                      </c:pt>
                      <c:pt idx="3">
                        <c:v> December  </c:v>
                      </c:pt>
                      <c:pt idx="4">
                        <c:v>January </c:v>
                      </c:pt>
                      <c:pt idx="5">
                        <c:v>February</c:v>
                      </c:pt>
                      <c:pt idx="6">
                        <c:v>March </c:v>
                      </c:pt>
                      <c:pt idx="7">
                        <c:v>April </c:v>
                      </c:pt>
                      <c:pt idx="8">
                        <c:v>May</c:v>
                      </c:pt>
                      <c:pt idx="9">
                        <c:v>June</c:v>
                      </c:pt>
                      <c:pt idx="10">
                        <c:v>July </c:v>
                      </c:pt>
                      <c:pt idx="11">
                        <c:v>August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Summary!$B$9:$O$9</c15:sqref>
                        </c15:fullRef>
                        <c15:formulaRef>
                          <c15:sqref>Summary!$D$9:$O$9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523373.46</c:v>
                      </c:pt>
                      <c:pt idx="1">
                        <c:v>526424.12999999989</c:v>
                      </c:pt>
                      <c:pt idx="2">
                        <c:v>477962.35999999993</c:v>
                      </c:pt>
                      <c:pt idx="3">
                        <c:v>525952.78999999992</c:v>
                      </c:pt>
                      <c:pt idx="4">
                        <c:v>570500.94999999995</c:v>
                      </c:pt>
                      <c:pt idx="5">
                        <c:v>573488.27999999991</c:v>
                      </c:pt>
                      <c:pt idx="6">
                        <c:v>639304.75999999989</c:v>
                      </c:pt>
                      <c:pt idx="7">
                        <c:v>503485.12999999989</c:v>
                      </c:pt>
                      <c:pt idx="8">
                        <c:v>418158.1399999999</c:v>
                      </c:pt>
                      <c:pt idx="9">
                        <c:v>386369.1999999999</c:v>
                      </c:pt>
                      <c:pt idx="10">
                        <c:v>530957.85999999987</c:v>
                      </c:pt>
                      <c:pt idx="11">
                        <c:v>589139.7890909086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0BE-4479-9FC5-E497F05AC074}"/>
                  </c:ext>
                </c:extLst>
              </c15:ser>
            </c15:filteredLineSeries>
          </c:ext>
        </c:extLst>
      </c:lineChart>
      <c:catAx>
        <c:axId val="1757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32928"/>
        <c:crosses val="autoZero"/>
        <c:auto val="1"/>
        <c:lblAlgn val="ctr"/>
        <c:lblOffset val="100"/>
        <c:noMultiLvlLbl val="0"/>
      </c:catAx>
      <c:valAx>
        <c:axId val="17543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6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11</xdr:row>
      <xdr:rowOff>133349</xdr:rowOff>
    </xdr:from>
    <xdr:to>
      <xdr:col>5</xdr:col>
      <xdr:colOff>828675</xdr:colOff>
      <xdr:row>35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A99B0E-6876-0796-1D7B-65F21F268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12</xdr:row>
      <xdr:rowOff>19050</xdr:rowOff>
    </xdr:from>
    <xdr:to>
      <xdr:col>11</xdr:col>
      <xdr:colOff>200025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979BF3-F50C-40FF-EF8D-FDA74928A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0"/>
  <sheetViews>
    <sheetView showGridLines="0" tabSelected="1" zoomScale="80" zoomScaleNormal="80" workbookViewId="0">
      <pane ySplit="6" topLeftCell="A7" activePane="bottomLeft" state="frozen"/>
      <selection pane="bottomLeft" activeCell="S28" sqref="S28"/>
    </sheetView>
  </sheetViews>
  <sheetFormatPr defaultColWidth="9.140625" defaultRowHeight="12.75" x14ac:dyDescent="0.2"/>
  <cols>
    <col min="1" max="1" width="22.42578125" style="33" customWidth="1"/>
    <col min="2" max="2" width="38.42578125" style="33" customWidth="1"/>
    <col min="3" max="3" width="17.7109375" style="2" bestFit="1" customWidth="1"/>
    <col min="4" max="4" width="19.7109375" style="2" bestFit="1" customWidth="1"/>
    <col min="5" max="5" width="15.85546875" style="2" bestFit="1" customWidth="1"/>
    <col min="6" max="6" width="14.7109375" style="2" bestFit="1" customWidth="1"/>
    <col min="7" max="7" width="13.7109375" style="2" bestFit="1" customWidth="1"/>
    <col min="8" max="8" width="17" style="2" customWidth="1"/>
    <col min="9" max="13" width="17.42578125" style="1" bestFit="1" customWidth="1"/>
    <col min="14" max="16" width="16.140625" style="1" bestFit="1" customWidth="1"/>
    <col min="17" max="28" width="9.140625" customWidth="1"/>
    <col min="29" max="16384" width="9.140625" style="1"/>
  </cols>
  <sheetData>
    <row r="1" spans="1:28" ht="15.75" x14ac:dyDescent="0.25">
      <c r="A1" s="97" t="s">
        <v>115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28" ht="15.75" x14ac:dyDescent="0.25">
      <c r="A2" s="41" t="s">
        <v>38</v>
      </c>
      <c r="B2" s="30"/>
      <c r="C2" s="13"/>
      <c r="D2" s="13"/>
      <c r="E2" s="13"/>
      <c r="F2" s="13"/>
      <c r="G2" s="13"/>
      <c r="H2" s="13"/>
      <c r="I2" s="12"/>
      <c r="J2" s="12"/>
      <c r="K2" s="12"/>
      <c r="L2" s="12"/>
    </row>
    <row r="3" spans="1:28" ht="15.75" x14ac:dyDescent="0.25">
      <c r="A3" s="35"/>
      <c r="B3" s="30"/>
      <c r="C3" s="13"/>
      <c r="D3" s="13"/>
      <c r="E3" s="13"/>
      <c r="F3" s="13"/>
      <c r="G3" s="13"/>
      <c r="H3" s="13"/>
      <c r="I3" s="12"/>
      <c r="J3" s="12"/>
      <c r="K3" s="12"/>
      <c r="L3" s="12"/>
    </row>
    <row r="4" spans="1:28" ht="15.75" x14ac:dyDescent="0.25">
      <c r="A4" s="35"/>
      <c r="B4" s="30"/>
      <c r="C4" s="16" t="s">
        <v>17</v>
      </c>
      <c r="D4" s="17" t="s">
        <v>20</v>
      </c>
      <c r="E4" s="17" t="s">
        <v>7</v>
      </c>
      <c r="F4" s="17" t="s">
        <v>8</v>
      </c>
      <c r="G4" s="17" t="s">
        <v>9</v>
      </c>
      <c r="H4" s="17" t="s">
        <v>10</v>
      </c>
      <c r="I4" s="14" t="s">
        <v>2</v>
      </c>
      <c r="J4" s="14" t="s">
        <v>3</v>
      </c>
      <c r="K4" s="14" t="s">
        <v>4</v>
      </c>
      <c r="L4" s="14" t="s">
        <v>5</v>
      </c>
      <c r="M4" s="18" t="s">
        <v>12</v>
      </c>
      <c r="N4" s="18" t="s">
        <v>13</v>
      </c>
      <c r="O4" s="18" t="s">
        <v>14</v>
      </c>
      <c r="P4" s="19" t="s">
        <v>15</v>
      </c>
    </row>
    <row r="5" spans="1:28" s="65" customFormat="1" x14ac:dyDescent="0.2">
      <c r="A5" s="62" t="s">
        <v>41</v>
      </c>
      <c r="B5" s="63"/>
      <c r="C5" s="64">
        <v>46</v>
      </c>
      <c r="D5" s="201">
        <v>52.14</v>
      </c>
      <c r="E5" s="193">
        <v>48.75</v>
      </c>
      <c r="F5" s="204">
        <f>49.66+4.34+2</f>
        <v>56</v>
      </c>
      <c r="G5" s="195">
        <f>48.54+2+4.34</f>
        <v>54.879999999999995</v>
      </c>
      <c r="H5" s="205">
        <f>47.66+4.34+1</f>
        <v>53</v>
      </c>
      <c r="I5" s="195">
        <f>47.66+4+2</f>
        <v>53.66</v>
      </c>
      <c r="J5" s="206">
        <f>46.66+3.8+2</f>
        <v>52.459999999999994</v>
      </c>
      <c r="K5" s="206">
        <f>44.66+3.8+2</f>
        <v>50.459999999999994</v>
      </c>
      <c r="L5" s="206">
        <v>50.46</v>
      </c>
      <c r="M5" s="203">
        <f>43.89+3.67+2</f>
        <v>49.56</v>
      </c>
      <c r="N5" s="203">
        <f>42.89+3.67+2</f>
        <v>48.56</v>
      </c>
      <c r="O5" s="203">
        <v>0</v>
      </c>
      <c r="P5" s="203">
        <v>0</v>
      </c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x14ac:dyDescent="0.2">
      <c r="C6" s="16" t="s">
        <v>17</v>
      </c>
      <c r="D6" s="17" t="s">
        <v>20</v>
      </c>
      <c r="E6" s="23" t="s">
        <v>49</v>
      </c>
      <c r="F6" s="23" t="s">
        <v>50</v>
      </c>
      <c r="G6" s="23" t="s">
        <v>54</v>
      </c>
      <c r="H6" s="23" t="s">
        <v>45</v>
      </c>
      <c r="I6" s="15" t="s">
        <v>51</v>
      </c>
      <c r="J6" s="15" t="s">
        <v>46</v>
      </c>
      <c r="K6" s="15" t="s">
        <v>47</v>
      </c>
      <c r="L6" s="15" t="s">
        <v>48</v>
      </c>
      <c r="M6" s="18" t="s">
        <v>52</v>
      </c>
      <c r="N6" s="18" t="s">
        <v>43</v>
      </c>
      <c r="O6" s="18" t="s">
        <v>53</v>
      </c>
      <c r="P6" s="19" t="s">
        <v>44</v>
      </c>
    </row>
    <row r="7" spans="1:28" ht="13.5" thickBot="1" x14ac:dyDescent="0.25">
      <c r="A7" s="149" t="s">
        <v>40</v>
      </c>
      <c r="B7" s="150" t="s">
        <v>103</v>
      </c>
      <c r="C7" s="26" t="s">
        <v>6</v>
      </c>
      <c r="D7" s="67" t="s">
        <v>28</v>
      </c>
      <c r="E7" s="185" t="s">
        <v>116</v>
      </c>
      <c r="F7" s="185" t="s">
        <v>116</v>
      </c>
      <c r="G7" s="185" t="s">
        <v>116</v>
      </c>
      <c r="H7" s="185" t="s">
        <v>116</v>
      </c>
      <c r="I7" s="185" t="s">
        <v>116</v>
      </c>
      <c r="J7" s="185" t="s">
        <v>116</v>
      </c>
      <c r="K7" s="185" t="s">
        <v>116</v>
      </c>
      <c r="L7" s="185" t="s">
        <v>116</v>
      </c>
      <c r="M7" s="185" t="s">
        <v>116</v>
      </c>
      <c r="N7" s="185" t="s">
        <v>116</v>
      </c>
      <c r="O7" s="185" t="s">
        <v>116</v>
      </c>
      <c r="P7" s="184" t="s">
        <v>105</v>
      </c>
    </row>
    <row r="8" spans="1:28" x14ac:dyDescent="0.2">
      <c r="A8" s="140" t="s">
        <v>83</v>
      </c>
      <c r="B8" s="151"/>
      <c r="C8" s="152"/>
      <c r="D8" s="15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0"/>
    </row>
    <row r="9" spans="1:28" x14ac:dyDescent="0.2">
      <c r="A9" s="154">
        <v>3100</v>
      </c>
      <c r="B9" s="45" t="s">
        <v>21</v>
      </c>
      <c r="C9" s="24">
        <v>2138581</v>
      </c>
      <c r="D9" s="207">
        <f>2152581.36+61.32</f>
        <v>2152642.6799999997</v>
      </c>
      <c r="E9" s="186">
        <v>192444.36</v>
      </c>
      <c r="F9" s="186">
        <v>171061.65</v>
      </c>
      <c r="G9" s="186">
        <v>106913.53</v>
      </c>
      <c r="H9" s="186">
        <v>192444.36</v>
      </c>
      <c r="I9" s="198">
        <v>188678.45</v>
      </c>
      <c r="J9" s="198">
        <v>182071.08</v>
      </c>
      <c r="K9" s="198">
        <v>191473.55</v>
      </c>
      <c r="L9" s="198">
        <v>191054.49</v>
      </c>
      <c r="M9" s="188">
        <v>106738.98</v>
      </c>
      <c r="N9" s="188">
        <v>142355.56</v>
      </c>
      <c r="O9" s="210">
        <v>272148.53000000003</v>
      </c>
      <c r="P9" s="85">
        <f>($D9-SUM($E9:O9))/1</f>
        <v>215258.13999999966</v>
      </c>
    </row>
    <row r="10" spans="1:28" x14ac:dyDescent="0.2">
      <c r="A10" s="154">
        <v>3121</v>
      </c>
      <c r="B10" s="45" t="s">
        <v>22</v>
      </c>
      <c r="C10" s="24">
        <v>4092</v>
      </c>
      <c r="D10" s="207">
        <v>3121.43</v>
      </c>
      <c r="E10" s="186">
        <v>368.28</v>
      </c>
      <c r="F10" s="186">
        <v>327.36</v>
      </c>
      <c r="G10" s="186">
        <v>204.6</v>
      </c>
      <c r="H10" s="186">
        <v>368.28</v>
      </c>
      <c r="I10" s="198">
        <v>21.06</v>
      </c>
      <c r="J10" s="198">
        <v>243.54</v>
      </c>
      <c r="K10" s="198">
        <v>243.89</v>
      </c>
      <c r="L10" s="198">
        <v>246.14</v>
      </c>
      <c r="M10" s="188">
        <v>125.25</v>
      </c>
      <c r="N10" s="188">
        <v>270.70999999999998</v>
      </c>
      <c r="O10" s="210">
        <v>390.18</v>
      </c>
      <c r="P10" s="85">
        <f>($D10-SUM($E10:O10))/1</f>
        <v>312.14000000000033</v>
      </c>
    </row>
    <row r="11" spans="1:28" x14ac:dyDescent="0.2">
      <c r="A11" s="154">
        <v>4100</v>
      </c>
      <c r="B11" s="45" t="s">
        <v>102</v>
      </c>
      <c r="C11" s="68">
        <v>0</v>
      </c>
      <c r="D11" s="156">
        <v>0</v>
      </c>
      <c r="E11" s="186">
        <v>0</v>
      </c>
      <c r="F11" s="186">
        <v>0</v>
      </c>
      <c r="G11" s="186">
        <v>0</v>
      </c>
      <c r="H11" s="186">
        <v>0</v>
      </c>
      <c r="I11" s="198">
        <v>0</v>
      </c>
      <c r="J11" s="198">
        <v>0</v>
      </c>
      <c r="K11" s="198">
        <v>0</v>
      </c>
      <c r="L11" s="198">
        <v>0</v>
      </c>
      <c r="M11" s="188">
        <v>0</v>
      </c>
      <c r="N11" s="188">
        <v>0</v>
      </c>
      <c r="O11" s="210">
        <v>0</v>
      </c>
      <c r="P11" s="85">
        <f>($D11-SUM($E11:O11))/1</f>
        <v>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x14ac:dyDescent="0.2">
      <c r="A12" s="154">
        <v>4109</v>
      </c>
      <c r="B12" s="45" t="s">
        <v>106</v>
      </c>
      <c r="C12" s="24">
        <v>11874</v>
      </c>
      <c r="D12" s="207">
        <v>22568.080000000002</v>
      </c>
      <c r="E12" s="186">
        <v>1068.7</v>
      </c>
      <c r="F12" s="186">
        <v>949.96</v>
      </c>
      <c r="G12" s="186">
        <v>593.72</v>
      </c>
      <c r="H12" s="186">
        <v>1068.7</v>
      </c>
      <c r="I12" s="198">
        <v>4759.01</v>
      </c>
      <c r="J12" s="198">
        <v>2189.23</v>
      </c>
      <c r="K12" s="198">
        <v>2124.17</v>
      </c>
      <c r="L12" s="198">
        <v>1425.8</v>
      </c>
      <c r="M12" s="188">
        <v>1868.04</v>
      </c>
      <c r="N12" s="188">
        <v>1442.93</v>
      </c>
      <c r="O12" s="210">
        <v>2821.01</v>
      </c>
      <c r="P12" s="85">
        <f>($D12-SUM($E12:O12))/1</f>
        <v>2256.8100000000049</v>
      </c>
    </row>
    <row r="13" spans="1:28" x14ac:dyDescent="0.2">
      <c r="A13" s="154">
        <v>4121</v>
      </c>
      <c r="B13" s="45" t="s">
        <v>23</v>
      </c>
      <c r="C13" s="24">
        <v>65717</v>
      </c>
      <c r="D13" s="207">
        <v>50067.68</v>
      </c>
      <c r="E13" s="186">
        <v>5914.31</v>
      </c>
      <c r="F13" s="186">
        <v>5257.16</v>
      </c>
      <c r="G13" s="186">
        <v>3285.73</v>
      </c>
      <c r="H13" s="186">
        <v>5914.31</v>
      </c>
      <c r="I13" s="198">
        <v>281.75</v>
      </c>
      <c r="J13" s="198">
        <v>3912.55</v>
      </c>
      <c r="K13" s="198">
        <v>3916.65</v>
      </c>
      <c r="L13" s="198">
        <v>3955.86</v>
      </c>
      <c r="M13" s="188">
        <v>2011.83</v>
      </c>
      <c r="N13" s="188">
        <v>4352.3</v>
      </c>
      <c r="O13" s="210">
        <v>6258.46</v>
      </c>
      <c r="P13" s="85">
        <f>($D13-SUM($E13:O13))/1</f>
        <v>5006.7699999999968</v>
      </c>
    </row>
    <row r="14" spans="1:28" x14ac:dyDescent="0.2">
      <c r="A14" s="154">
        <v>4155</v>
      </c>
      <c r="B14" s="45" t="s">
        <v>24</v>
      </c>
      <c r="C14" s="24">
        <v>49177</v>
      </c>
      <c r="D14" s="207">
        <v>48743.68</v>
      </c>
      <c r="E14" s="186">
        <v>0</v>
      </c>
      <c r="F14" s="186">
        <v>8286.43</v>
      </c>
      <c r="G14" s="186">
        <v>2437.1799999999998</v>
      </c>
      <c r="H14" s="186">
        <v>4386.93</v>
      </c>
      <c r="I14" s="198">
        <v>3929.29</v>
      </c>
      <c r="J14" s="198">
        <v>4600.8500000000004</v>
      </c>
      <c r="K14" s="198">
        <v>4386.9399999999996</v>
      </c>
      <c r="L14" s="198">
        <v>4386.93</v>
      </c>
      <c r="M14" s="188">
        <v>2437.1799999999998</v>
      </c>
      <c r="N14" s="188">
        <v>2924.62</v>
      </c>
      <c r="O14" s="210">
        <v>6092.96</v>
      </c>
      <c r="P14" s="85">
        <f>($D14-SUM($E14:O14))/1</f>
        <v>4874.3700000000026</v>
      </c>
    </row>
    <row r="15" spans="1:28" x14ac:dyDescent="0.2">
      <c r="A15" s="154" t="s">
        <v>122</v>
      </c>
      <c r="B15" s="45" t="s">
        <v>123</v>
      </c>
      <c r="C15" s="24"/>
      <c r="D15" s="207">
        <v>2333</v>
      </c>
      <c r="E15" s="186"/>
      <c r="F15" s="186"/>
      <c r="G15" s="186"/>
      <c r="H15" s="186"/>
      <c r="I15" s="198"/>
      <c r="J15" s="198"/>
      <c r="K15" s="198"/>
      <c r="L15" s="198"/>
      <c r="M15" s="188"/>
      <c r="N15" s="188">
        <v>2333</v>
      </c>
      <c r="O15" s="210">
        <v>0</v>
      </c>
      <c r="P15" s="85">
        <v>0</v>
      </c>
    </row>
    <row r="16" spans="1:28" x14ac:dyDescent="0.2">
      <c r="A16" s="154" t="s">
        <v>19</v>
      </c>
      <c r="B16" s="45" t="s">
        <v>25</v>
      </c>
      <c r="C16" s="24">
        <v>0</v>
      </c>
      <c r="D16" s="207">
        <v>0</v>
      </c>
      <c r="E16" s="186">
        <v>0</v>
      </c>
      <c r="F16" s="186">
        <v>0</v>
      </c>
      <c r="G16" s="186">
        <v>0</v>
      </c>
      <c r="H16" s="186">
        <v>0</v>
      </c>
      <c r="I16" s="198">
        <v>0</v>
      </c>
      <c r="J16" s="198">
        <v>0</v>
      </c>
      <c r="K16" s="198">
        <v>0</v>
      </c>
      <c r="L16" s="198">
        <v>0</v>
      </c>
      <c r="M16" s="188">
        <v>0</v>
      </c>
      <c r="N16" s="188">
        <v>0</v>
      </c>
      <c r="O16" s="210">
        <v>0</v>
      </c>
      <c r="P16" s="85">
        <f>($D16-SUM($E16:O16))/1</f>
        <v>0</v>
      </c>
    </row>
    <row r="17" spans="1:28" x14ac:dyDescent="0.2">
      <c r="A17" s="154" t="s">
        <v>90</v>
      </c>
      <c r="B17" s="45" t="s">
        <v>91</v>
      </c>
      <c r="C17" s="24">
        <v>0</v>
      </c>
      <c r="D17" s="207">
        <v>0</v>
      </c>
      <c r="E17" s="186">
        <v>0</v>
      </c>
      <c r="F17" s="186">
        <v>0</v>
      </c>
      <c r="G17" s="186">
        <v>0</v>
      </c>
      <c r="H17" s="186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210">
        <v>0</v>
      </c>
      <c r="P17" s="85"/>
    </row>
    <row r="18" spans="1:28" x14ac:dyDescent="0.2">
      <c r="A18" s="154" t="s">
        <v>108</v>
      </c>
      <c r="B18" s="45" t="s">
        <v>109</v>
      </c>
      <c r="C18" s="24">
        <v>0</v>
      </c>
      <c r="D18" s="207">
        <v>0</v>
      </c>
      <c r="E18" s="186">
        <v>0</v>
      </c>
      <c r="F18" s="186">
        <v>0</v>
      </c>
      <c r="G18" s="186">
        <v>0</v>
      </c>
      <c r="H18" s="186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210">
        <v>0</v>
      </c>
      <c r="P18" s="85"/>
    </row>
    <row r="19" spans="1:28" x14ac:dyDescent="0.2">
      <c r="A19" s="154" t="s">
        <v>30</v>
      </c>
      <c r="B19" s="45" t="s">
        <v>31</v>
      </c>
      <c r="C19" s="24">
        <v>0</v>
      </c>
      <c r="D19" s="207">
        <v>0</v>
      </c>
      <c r="E19" s="186">
        <v>0</v>
      </c>
      <c r="F19" s="186">
        <v>0</v>
      </c>
      <c r="G19" s="186">
        <v>0</v>
      </c>
      <c r="H19" s="186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210">
        <v>0</v>
      </c>
      <c r="P19" s="85">
        <f>($D19-SUM($E19:O19))/1</f>
        <v>0</v>
      </c>
    </row>
    <row r="20" spans="1:28" x14ac:dyDescent="0.2">
      <c r="A20" s="154" t="s">
        <v>32</v>
      </c>
      <c r="B20" s="45" t="s">
        <v>29</v>
      </c>
      <c r="C20" s="24">
        <v>0</v>
      </c>
      <c r="D20" s="207">
        <v>0</v>
      </c>
      <c r="E20" s="186">
        <v>0</v>
      </c>
      <c r="F20" s="186">
        <v>0</v>
      </c>
      <c r="G20" s="186">
        <v>0</v>
      </c>
      <c r="H20" s="186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210">
        <v>0</v>
      </c>
      <c r="P20" s="85">
        <f>($D20-SUM($E20:O20))/1</f>
        <v>0</v>
      </c>
    </row>
    <row r="21" spans="1:28" x14ac:dyDescent="0.2">
      <c r="A21" s="154">
        <v>4198</v>
      </c>
      <c r="B21" s="45" t="s">
        <v>1</v>
      </c>
      <c r="C21" s="24">
        <v>2000</v>
      </c>
      <c r="D21" s="207">
        <v>1150.96</v>
      </c>
      <c r="E21" s="186">
        <v>0</v>
      </c>
      <c r="F21" s="186">
        <v>15.3</v>
      </c>
      <c r="G21" s="186">
        <v>17.07</v>
      </c>
      <c r="H21" s="186">
        <v>12.81</v>
      </c>
      <c r="I21" s="198">
        <v>10.08</v>
      </c>
      <c r="J21" s="198">
        <v>13.05</v>
      </c>
      <c r="K21" s="198">
        <v>9.0299999999999994</v>
      </c>
      <c r="L21" s="198">
        <v>13.14</v>
      </c>
      <c r="M21" s="188">
        <v>9.9</v>
      </c>
      <c r="N21" s="188">
        <v>1044.82</v>
      </c>
      <c r="O21" s="210">
        <v>5.76</v>
      </c>
      <c r="P21" s="85">
        <v>0</v>
      </c>
    </row>
    <row r="22" spans="1:28" x14ac:dyDescent="0.2">
      <c r="A22" s="154" t="s">
        <v>110</v>
      </c>
      <c r="B22" s="45" t="s">
        <v>112</v>
      </c>
      <c r="C22" s="24">
        <v>400</v>
      </c>
      <c r="D22" s="207">
        <v>2133.9499999999998</v>
      </c>
      <c r="E22" s="186">
        <v>0</v>
      </c>
      <c r="F22" s="186">
        <v>274.39999999999998</v>
      </c>
      <c r="G22" s="186">
        <v>306.25</v>
      </c>
      <c r="H22" s="186">
        <v>230.3</v>
      </c>
      <c r="I22" s="198">
        <v>181.3</v>
      </c>
      <c r="J22" s="198">
        <v>235.2</v>
      </c>
      <c r="K22" s="198">
        <v>161.69999999999999</v>
      </c>
      <c r="L22" s="198">
        <v>235.2</v>
      </c>
      <c r="M22" s="188">
        <v>178.85</v>
      </c>
      <c r="N22" s="188">
        <v>227.85</v>
      </c>
      <c r="O22" s="210">
        <v>102.9</v>
      </c>
      <c r="P22" s="85">
        <v>0</v>
      </c>
    </row>
    <row r="23" spans="1:28" x14ac:dyDescent="0.2">
      <c r="A23" s="154" t="s">
        <v>111</v>
      </c>
      <c r="B23" s="45" t="s">
        <v>113</v>
      </c>
      <c r="C23" s="24">
        <v>372</v>
      </c>
      <c r="D23" s="207">
        <v>4382.93</v>
      </c>
      <c r="E23" s="186">
        <v>0</v>
      </c>
      <c r="F23" s="186">
        <v>533.33000000000004</v>
      </c>
      <c r="G23" s="186">
        <v>589.47</v>
      </c>
      <c r="H23" s="186">
        <v>457.14</v>
      </c>
      <c r="I23" s="198">
        <v>364.91</v>
      </c>
      <c r="J23" s="198">
        <v>501.25</v>
      </c>
      <c r="K23" s="198">
        <v>352.88</v>
      </c>
      <c r="L23" s="198">
        <v>477.19</v>
      </c>
      <c r="M23" s="188">
        <v>372.93</v>
      </c>
      <c r="N23" s="188">
        <v>505.26</v>
      </c>
      <c r="O23" s="210">
        <v>228.57</v>
      </c>
      <c r="P23" s="85">
        <v>0</v>
      </c>
    </row>
    <row r="24" spans="1:28" s="70" customFormat="1" ht="13.5" thickBot="1" x14ac:dyDescent="0.25">
      <c r="A24" s="157">
        <v>4199</v>
      </c>
      <c r="B24" s="72" t="s">
        <v>26</v>
      </c>
      <c r="C24" s="73">
        <v>191844</v>
      </c>
      <c r="D24" s="208">
        <v>165456.1</v>
      </c>
      <c r="E24" s="186">
        <v>17266.04</v>
      </c>
      <c r="F24" s="186">
        <v>15347.6</v>
      </c>
      <c r="G24" s="186">
        <v>9592.24</v>
      </c>
      <c r="H24" s="186">
        <v>17266.05</v>
      </c>
      <c r="I24" s="198">
        <v>16306.82</v>
      </c>
      <c r="J24" s="198">
        <v>4467.46</v>
      </c>
      <c r="K24" s="198">
        <v>14891.05</v>
      </c>
      <c r="L24" s="198">
        <v>14891.05</v>
      </c>
      <c r="M24" s="188">
        <v>8272.7999999999993</v>
      </c>
      <c r="N24" s="188">
        <v>9927.3700000000008</v>
      </c>
      <c r="O24" s="210">
        <v>20682.009999999998</v>
      </c>
      <c r="P24" s="85">
        <f>($D24-SUM($E24:O24))/1</f>
        <v>16545.609999999986</v>
      </c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ht="13.5" thickTop="1" x14ac:dyDescent="0.2">
      <c r="A25" s="154"/>
      <c r="B25" s="45"/>
      <c r="C25" s="24">
        <v>0</v>
      </c>
      <c r="D25" s="207">
        <v>0</v>
      </c>
      <c r="E25" s="186">
        <v>0</v>
      </c>
      <c r="F25" s="186">
        <v>0</v>
      </c>
      <c r="G25" s="186">
        <v>0</v>
      </c>
      <c r="H25" s="186">
        <v>0</v>
      </c>
      <c r="I25" s="198">
        <v>0</v>
      </c>
      <c r="J25" s="198">
        <v>0</v>
      </c>
      <c r="K25" s="198">
        <v>0</v>
      </c>
      <c r="L25" s="198">
        <v>0</v>
      </c>
      <c r="M25" s="188">
        <v>0</v>
      </c>
      <c r="N25" s="188">
        <v>0</v>
      </c>
      <c r="O25" s="210">
        <v>0</v>
      </c>
      <c r="P25" s="85">
        <f>($D25-SUM($E25:O25))/1</f>
        <v>0</v>
      </c>
    </row>
    <row r="26" spans="1:28" x14ac:dyDescent="0.2">
      <c r="I26" s="2"/>
    </row>
    <row r="27" spans="1:28" x14ac:dyDescent="0.2">
      <c r="A27" s="83" t="s">
        <v>85</v>
      </c>
      <c r="B27" s="158"/>
      <c r="C27" s="159"/>
      <c r="D27" s="159"/>
      <c r="E27" s="74"/>
      <c r="F27" s="74"/>
      <c r="G27" s="74"/>
      <c r="H27" s="74"/>
      <c r="I27" s="74"/>
      <c r="J27" s="74"/>
      <c r="K27" s="74"/>
      <c r="L27" s="74"/>
      <c r="M27" s="75"/>
      <c r="N27" s="75"/>
      <c r="O27" s="76"/>
      <c r="P27" s="77"/>
    </row>
    <row r="28" spans="1:28" x14ac:dyDescent="0.2">
      <c r="A28" s="154">
        <v>6124</v>
      </c>
      <c r="B28" s="45" t="s">
        <v>104</v>
      </c>
      <c r="C28" s="24">
        <v>11000</v>
      </c>
      <c r="D28" s="155">
        <v>11218</v>
      </c>
      <c r="E28" s="186">
        <v>0</v>
      </c>
      <c r="F28" s="186">
        <v>0</v>
      </c>
      <c r="G28" s="186">
        <v>0</v>
      </c>
      <c r="H28" s="186">
        <v>0</v>
      </c>
      <c r="I28" s="198">
        <v>0</v>
      </c>
      <c r="J28" s="198">
        <v>0</v>
      </c>
      <c r="K28" s="198">
        <v>11218</v>
      </c>
      <c r="L28" s="198">
        <v>0</v>
      </c>
      <c r="M28" s="198">
        <v>0</v>
      </c>
      <c r="N28" s="198">
        <v>0</v>
      </c>
      <c r="O28" s="210">
        <v>0</v>
      </c>
      <c r="P28" s="85">
        <f>($D28-SUM($E28:O28))/1</f>
        <v>0</v>
      </c>
    </row>
    <row r="29" spans="1:28" x14ac:dyDescent="0.2">
      <c r="A29" s="154">
        <v>6151</v>
      </c>
      <c r="B29" s="45" t="s">
        <v>16</v>
      </c>
      <c r="C29" s="24">
        <v>1170</v>
      </c>
      <c r="D29" s="155">
        <v>0</v>
      </c>
      <c r="E29" s="186">
        <v>0</v>
      </c>
      <c r="F29" s="186">
        <v>0</v>
      </c>
      <c r="G29" s="186">
        <v>0</v>
      </c>
      <c r="H29" s="186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  <c r="O29" s="210">
        <v>0</v>
      </c>
      <c r="P29" s="85">
        <f>($D29-SUM($E29:O29))/1</f>
        <v>0</v>
      </c>
    </row>
    <row r="30" spans="1:28" x14ac:dyDescent="0.2">
      <c r="A30" s="154">
        <v>6152</v>
      </c>
      <c r="B30" s="45" t="s">
        <v>27</v>
      </c>
      <c r="C30" s="24">
        <v>1500</v>
      </c>
      <c r="D30" s="155">
        <v>1673</v>
      </c>
      <c r="E30" s="186">
        <v>0</v>
      </c>
      <c r="F30" s="186">
        <v>0</v>
      </c>
      <c r="G30" s="186">
        <v>1575</v>
      </c>
      <c r="H30" s="186">
        <v>0</v>
      </c>
      <c r="I30" s="198">
        <v>0</v>
      </c>
      <c r="J30" s="198">
        <v>0</v>
      </c>
      <c r="K30" s="198">
        <v>0</v>
      </c>
      <c r="L30" s="198">
        <v>0</v>
      </c>
      <c r="M30" s="198">
        <v>98</v>
      </c>
      <c r="N30" s="198">
        <v>0</v>
      </c>
      <c r="O30" s="210">
        <v>0</v>
      </c>
      <c r="P30" s="85">
        <f>($D30-SUM($E30:O30))/1</f>
        <v>0</v>
      </c>
    </row>
    <row r="31" spans="1:28" x14ac:dyDescent="0.2">
      <c r="A31" s="154">
        <v>615201</v>
      </c>
      <c r="B31" s="45" t="s">
        <v>117</v>
      </c>
      <c r="C31" s="24">
        <v>10000</v>
      </c>
      <c r="D31" s="155">
        <v>11614</v>
      </c>
      <c r="E31" s="186">
        <v>0</v>
      </c>
      <c r="F31" s="186">
        <v>0</v>
      </c>
      <c r="G31" s="186">
        <v>0</v>
      </c>
      <c r="H31" s="186">
        <v>1575</v>
      </c>
      <c r="I31" s="198">
        <v>0</v>
      </c>
      <c r="J31" s="198">
        <v>1715.18</v>
      </c>
      <c r="K31" s="198">
        <v>1837.12</v>
      </c>
      <c r="L31" s="198">
        <v>0</v>
      </c>
      <c r="M31" s="198">
        <v>252.38</v>
      </c>
      <c r="N31" s="198">
        <v>2913.66</v>
      </c>
      <c r="O31" s="210">
        <v>3320.66</v>
      </c>
      <c r="P31" s="85">
        <f>($D31-SUM($E31:O31))/1</f>
        <v>0</v>
      </c>
    </row>
    <row r="32" spans="1:28" x14ac:dyDescent="0.2">
      <c r="A32" s="180">
        <v>615201</v>
      </c>
      <c r="B32" s="181" t="s">
        <v>118</v>
      </c>
      <c r="C32" s="182">
        <v>0</v>
      </c>
      <c r="D32" s="183">
        <v>3212.01</v>
      </c>
      <c r="E32" s="186">
        <v>3212.01</v>
      </c>
      <c r="F32" s="186">
        <v>0</v>
      </c>
      <c r="G32" s="186">
        <v>0</v>
      </c>
      <c r="H32" s="186">
        <v>0</v>
      </c>
      <c r="I32" s="198">
        <v>0</v>
      </c>
      <c r="J32" s="198">
        <v>0</v>
      </c>
      <c r="K32" s="198">
        <v>0</v>
      </c>
      <c r="L32" s="198">
        <v>0</v>
      </c>
      <c r="M32" s="198">
        <v>0</v>
      </c>
      <c r="N32" s="198">
        <f>($D32-SUM($E32:M32))/3</f>
        <v>0</v>
      </c>
      <c r="O32" s="210">
        <v>0</v>
      </c>
      <c r="P32" s="85">
        <f>($D32-SUM($E32:O32))/1</f>
        <v>0</v>
      </c>
    </row>
    <row r="33" spans="1:28" x14ac:dyDescent="0.2">
      <c r="A33" s="154">
        <v>6198</v>
      </c>
      <c r="B33" s="45" t="s">
        <v>33</v>
      </c>
      <c r="C33" s="24">
        <v>30000</v>
      </c>
      <c r="D33" s="155">
        <v>23115.85</v>
      </c>
      <c r="E33" s="186">
        <v>0</v>
      </c>
      <c r="F33" s="186">
        <v>2817.19</v>
      </c>
      <c r="G33" s="186">
        <v>3119.71</v>
      </c>
      <c r="H33" s="186">
        <v>2407.6</v>
      </c>
      <c r="I33" s="198">
        <v>1932.33</v>
      </c>
      <c r="J33" s="198">
        <v>2649.51</v>
      </c>
      <c r="K33" s="198">
        <v>1853.56</v>
      </c>
      <c r="L33" s="198">
        <v>2505.59</v>
      </c>
      <c r="M33" s="198">
        <v>1965.17</v>
      </c>
      <c r="N33" s="198">
        <v>2668.2</v>
      </c>
      <c r="O33" s="210">
        <v>1196.99</v>
      </c>
      <c r="P33" s="85">
        <f>($D33-SUM($E33:O33))/1</f>
        <v>0</v>
      </c>
    </row>
    <row r="34" spans="1:28" ht="13.5" thickBot="1" x14ac:dyDescent="0.25">
      <c r="A34" s="154" t="s">
        <v>107</v>
      </c>
      <c r="B34" s="45" t="s">
        <v>11</v>
      </c>
      <c r="C34" s="24">
        <v>12000</v>
      </c>
      <c r="D34" s="155">
        <v>11583.25</v>
      </c>
      <c r="E34" s="186">
        <v>0</v>
      </c>
      <c r="F34" s="186">
        <v>1492.08</v>
      </c>
      <c r="G34" s="186">
        <v>1664.71</v>
      </c>
      <c r="H34" s="186">
        <v>1249.3399999999999</v>
      </c>
      <c r="I34" s="198">
        <v>983.1</v>
      </c>
      <c r="J34" s="198">
        <v>1272.8399999999999</v>
      </c>
      <c r="K34" s="198">
        <v>880.58</v>
      </c>
      <c r="L34" s="198">
        <v>1281.3599999999999</v>
      </c>
      <c r="M34" s="198">
        <v>965.67</v>
      </c>
      <c r="N34" s="198">
        <v>1231.9100000000001</v>
      </c>
      <c r="O34" s="210">
        <v>561.66</v>
      </c>
      <c r="P34" s="85">
        <f>($D34-SUM($E34:O34))/1</f>
        <v>0</v>
      </c>
    </row>
    <row r="35" spans="1:28" s="2" customFormat="1" ht="13.5" thickBot="1" x14ac:dyDescent="0.25">
      <c r="A35" s="172" t="s">
        <v>114</v>
      </c>
      <c r="B35" s="173" t="s">
        <v>76</v>
      </c>
      <c r="C35" s="176">
        <f t="shared" ref="C35:P35" si="0">SUM(C9:C34)</f>
        <v>2529727</v>
      </c>
      <c r="D35" s="177">
        <f t="shared" si="0"/>
        <v>2515016.6000000006</v>
      </c>
      <c r="E35" s="187">
        <f t="shared" si="0"/>
        <v>220273.7</v>
      </c>
      <c r="F35" s="194">
        <f t="shared" si="0"/>
        <v>206362.45999999993</v>
      </c>
      <c r="G35" s="194">
        <f t="shared" si="0"/>
        <v>130299.21000000002</v>
      </c>
      <c r="H35" s="194">
        <f t="shared" si="0"/>
        <v>227380.81999999998</v>
      </c>
      <c r="I35" s="202">
        <f t="shared" si="0"/>
        <v>217448.1</v>
      </c>
      <c r="J35" s="202">
        <f t="shared" si="0"/>
        <v>203871.74</v>
      </c>
      <c r="K35" s="202">
        <f t="shared" si="0"/>
        <v>233349.12</v>
      </c>
      <c r="L35" s="202">
        <f t="shared" si="0"/>
        <v>220472.74999999997</v>
      </c>
      <c r="M35" s="209">
        <f t="shared" si="0"/>
        <v>125296.97999999998</v>
      </c>
      <c r="N35" s="209">
        <f t="shared" si="0"/>
        <v>172198.19</v>
      </c>
      <c r="O35" s="209">
        <f t="shared" si="0"/>
        <v>313809.69000000006</v>
      </c>
      <c r="P35" s="8">
        <f t="shared" si="0"/>
        <v>244253.83999999965</v>
      </c>
      <c r="Q35"/>
      <c r="R35"/>
      <c r="S35"/>
      <c r="T35"/>
      <c r="U35"/>
      <c r="V35"/>
      <c r="W35"/>
      <c r="X35"/>
      <c r="Y35"/>
      <c r="Z35"/>
      <c r="AA35"/>
      <c r="AB35"/>
    </row>
    <row r="36" spans="1:28" ht="13.5" thickBot="1" x14ac:dyDescent="0.25">
      <c r="A36" s="32"/>
      <c r="B36" s="32"/>
      <c r="C36" s="5"/>
      <c r="D36" s="25"/>
      <c r="E36" s="199"/>
      <c r="F36" s="9"/>
      <c r="G36" s="9"/>
      <c r="H36" s="9"/>
      <c r="I36" s="10"/>
      <c r="J36" s="10"/>
      <c r="K36" s="10"/>
      <c r="L36" s="10"/>
      <c r="M36" s="11"/>
      <c r="N36" s="11"/>
      <c r="O36" s="11"/>
      <c r="P36" s="11"/>
    </row>
    <row r="37" spans="1:28" x14ac:dyDescent="0.2">
      <c r="A37" s="162" t="s">
        <v>84</v>
      </c>
      <c r="B37" s="163"/>
      <c r="C37" s="133"/>
      <c r="D37" s="134"/>
      <c r="E37" s="80"/>
      <c r="F37" s="80"/>
      <c r="G37" s="80"/>
      <c r="H37" s="80"/>
      <c r="I37" s="81"/>
      <c r="J37" s="81"/>
      <c r="K37" s="81"/>
      <c r="L37" s="81"/>
      <c r="M37" s="81"/>
      <c r="N37" s="81"/>
      <c r="O37" s="81"/>
      <c r="P37" s="82"/>
    </row>
    <row r="38" spans="1:28" x14ac:dyDescent="0.2">
      <c r="A38" s="137" t="s">
        <v>55</v>
      </c>
      <c r="B38" s="45" t="s">
        <v>56</v>
      </c>
      <c r="C38" s="28">
        <v>7000</v>
      </c>
      <c r="D38" s="147">
        <v>23000</v>
      </c>
      <c r="E38" s="186">
        <v>2289.56</v>
      </c>
      <c r="F38" s="186">
        <v>2247.91</v>
      </c>
      <c r="G38" s="186">
        <v>2185.84</v>
      </c>
      <c r="H38" s="198">
        <v>3572.43</v>
      </c>
      <c r="I38" s="198">
        <v>0</v>
      </c>
      <c r="J38" s="198">
        <v>1978.25</v>
      </c>
      <c r="K38" s="198">
        <v>1863.5</v>
      </c>
      <c r="L38" s="198">
        <v>2092.98</v>
      </c>
      <c r="M38" s="198">
        <v>2073.16</v>
      </c>
      <c r="N38" s="198">
        <v>1730.41</v>
      </c>
      <c r="O38" s="211">
        <v>1467.25</v>
      </c>
      <c r="P38" s="86">
        <f>($D38-SUM($E38:O38))/1</f>
        <v>1498.7100000000028</v>
      </c>
    </row>
    <row r="39" spans="1:28" x14ac:dyDescent="0.2">
      <c r="A39" s="137" t="s">
        <v>35</v>
      </c>
      <c r="B39" s="45" t="s">
        <v>57</v>
      </c>
      <c r="C39" s="28">
        <v>4500</v>
      </c>
      <c r="D39" s="147">
        <v>31800</v>
      </c>
      <c r="E39" s="186">
        <f>5647.65-46.03</f>
        <v>5601.62</v>
      </c>
      <c r="F39" s="186">
        <v>440</v>
      </c>
      <c r="G39" s="186">
        <v>1462</v>
      </c>
      <c r="H39" s="198">
        <v>529.9</v>
      </c>
      <c r="I39" s="198">
        <v>1225.3499999999999</v>
      </c>
      <c r="J39" s="198">
        <f>1266.42-250.47</f>
        <v>1015.95</v>
      </c>
      <c r="K39" s="198">
        <f>15663.21-500.94</f>
        <v>15162.269999999999</v>
      </c>
      <c r="L39" s="198">
        <f>168.12+12.5</f>
        <v>180.62</v>
      </c>
      <c r="M39" s="198">
        <v>5114.45</v>
      </c>
      <c r="N39" s="198">
        <f>118.04+368+453</f>
        <v>939.04</v>
      </c>
      <c r="O39" s="211">
        <v>0</v>
      </c>
      <c r="P39" s="86">
        <f>($D39-SUM($E39:O39))/1</f>
        <v>128.80000000000291</v>
      </c>
    </row>
    <row r="40" spans="1:28" x14ac:dyDescent="0.2">
      <c r="A40" s="137" t="s">
        <v>121</v>
      </c>
      <c r="B40" s="45" t="s">
        <v>119</v>
      </c>
      <c r="C40" s="28"/>
      <c r="D40" s="147">
        <v>26974</v>
      </c>
      <c r="E40" s="186">
        <v>0</v>
      </c>
      <c r="F40" s="186">
        <v>0</v>
      </c>
      <c r="G40" s="186">
        <v>20403.5</v>
      </c>
      <c r="H40" s="198">
        <v>0</v>
      </c>
      <c r="I40" s="198">
        <v>0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211">
        <v>0</v>
      </c>
      <c r="P40" s="86">
        <f>($D40-SUM($E40:O40))/1</f>
        <v>6570.5</v>
      </c>
    </row>
    <row r="41" spans="1:28" x14ac:dyDescent="0.2">
      <c r="A41" s="137" t="s">
        <v>58</v>
      </c>
      <c r="B41" s="45" t="s">
        <v>59</v>
      </c>
      <c r="C41" s="28"/>
      <c r="D41" s="147">
        <v>0</v>
      </c>
      <c r="E41" s="186">
        <f t="shared" ref="E41" si="1">($D41)/12</f>
        <v>0</v>
      </c>
      <c r="F41" s="186">
        <v>0</v>
      </c>
      <c r="G41" s="186">
        <v>0</v>
      </c>
      <c r="H41" s="198">
        <v>0</v>
      </c>
      <c r="I41" s="198">
        <v>0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211">
        <v>0</v>
      </c>
      <c r="P41" s="86">
        <f>($D41-SUM($E41:O41))/1</f>
        <v>0</v>
      </c>
    </row>
    <row r="42" spans="1:28" x14ac:dyDescent="0.2">
      <c r="A42" s="137"/>
      <c r="B42" s="45" t="s">
        <v>60</v>
      </c>
      <c r="C42" s="28"/>
      <c r="D42" s="147"/>
      <c r="E42" s="189">
        <v>0</v>
      </c>
      <c r="F42" s="196">
        <v>0</v>
      </c>
      <c r="G42" s="198">
        <v>0</v>
      </c>
      <c r="H42" s="198">
        <v>0</v>
      </c>
      <c r="I42" s="188">
        <v>0</v>
      </c>
      <c r="J42" s="188">
        <v>0</v>
      </c>
      <c r="K42" s="188">
        <v>0</v>
      </c>
      <c r="L42" s="188">
        <v>0</v>
      </c>
      <c r="M42" s="188">
        <v>0</v>
      </c>
      <c r="N42" s="188">
        <v>0</v>
      </c>
      <c r="O42" s="188">
        <v>0</v>
      </c>
      <c r="P42" s="84"/>
    </row>
    <row r="43" spans="1:28" ht="13.5" thickBot="1" x14ac:dyDescent="0.25">
      <c r="A43" s="139" t="s">
        <v>87</v>
      </c>
      <c r="B43" s="55" t="s">
        <v>88</v>
      </c>
      <c r="C43" s="28">
        <v>3000</v>
      </c>
      <c r="D43" s="147">
        <v>3000</v>
      </c>
      <c r="E43" s="190">
        <v>0</v>
      </c>
      <c r="F43" s="197">
        <v>0</v>
      </c>
      <c r="G43" s="198">
        <v>0</v>
      </c>
      <c r="H43" s="198">
        <v>0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O43" s="188">
        <v>0</v>
      </c>
      <c r="P43" s="84">
        <f>D43</f>
        <v>3000</v>
      </c>
    </row>
    <row r="44" spans="1:28" ht="13.5" thickBot="1" x14ac:dyDescent="0.25">
      <c r="A44" s="172" t="s">
        <v>0</v>
      </c>
      <c r="B44" s="173" t="s">
        <v>75</v>
      </c>
      <c r="C44" s="174">
        <f>SUM(C35:C43)</f>
        <v>2544227</v>
      </c>
      <c r="D44" s="175">
        <f>SUM(D35:D43)</f>
        <v>2599790.6000000006</v>
      </c>
      <c r="E44" s="191">
        <f t="shared" ref="E44:P44" si="2">SUM(E38:E43)+E35</f>
        <v>228164.88</v>
      </c>
      <c r="F44" s="191">
        <f t="shared" si="2"/>
        <v>209050.36999999994</v>
      </c>
      <c r="G44" s="191">
        <f t="shared" si="2"/>
        <v>154350.55000000002</v>
      </c>
      <c r="H44" s="191">
        <f t="shared" si="2"/>
        <v>231483.14999999997</v>
      </c>
      <c r="I44" s="191">
        <f t="shared" si="2"/>
        <v>218673.45</v>
      </c>
      <c r="J44" s="191">
        <f t="shared" si="2"/>
        <v>206865.94</v>
      </c>
      <c r="K44" s="191">
        <f t="shared" si="2"/>
        <v>250374.88999999998</v>
      </c>
      <c r="L44" s="191">
        <f t="shared" si="2"/>
        <v>222746.34999999998</v>
      </c>
      <c r="M44" s="191">
        <f t="shared" si="2"/>
        <v>132484.58999999997</v>
      </c>
      <c r="N44" s="191">
        <f t="shared" si="2"/>
        <v>174867.64</v>
      </c>
      <c r="O44" s="191">
        <f t="shared" si="2"/>
        <v>315276.94000000006</v>
      </c>
      <c r="P44" s="122">
        <f t="shared" si="2"/>
        <v>255451.84999999966</v>
      </c>
    </row>
    <row r="45" spans="1:28" s="112" customFormat="1" ht="19.5" thickBot="1" x14ac:dyDescent="0.35">
      <c r="B45" s="114"/>
      <c r="C45" s="115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</row>
    <row r="46" spans="1:28" x14ac:dyDescent="0.2">
      <c r="A46" s="140" t="s">
        <v>18</v>
      </c>
      <c r="B46" s="141"/>
      <c r="C46" s="142" t="s">
        <v>6</v>
      </c>
      <c r="D46" s="143" t="s">
        <v>34</v>
      </c>
      <c r="E46" s="123" t="s">
        <v>7</v>
      </c>
      <c r="F46" s="123" t="s">
        <v>8</v>
      </c>
      <c r="G46" s="123" t="s">
        <v>9</v>
      </c>
      <c r="H46" s="123" t="s">
        <v>10</v>
      </c>
      <c r="I46" s="123" t="s">
        <v>2</v>
      </c>
      <c r="J46" s="123" t="s">
        <v>3</v>
      </c>
      <c r="K46" s="123" t="s">
        <v>4</v>
      </c>
      <c r="L46" s="123" t="s">
        <v>5</v>
      </c>
      <c r="M46" s="124" t="s">
        <v>12</v>
      </c>
      <c r="N46" s="124" t="s">
        <v>13</v>
      </c>
      <c r="O46" s="124" t="s">
        <v>14</v>
      </c>
      <c r="P46" s="125" t="s">
        <v>15</v>
      </c>
    </row>
    <row r="47" spans="1:28" x14ac:dyDescent="0.2">
      <c r="A47" s="39"/>
      <c r="B47" s="32"/>
      <c r="C47" s="27"/>
      <c r="D47" s="144"/>
      <c r="E47" s="185" t="s">
        <v>116</v>
      </c>
      <c r="F47" s="185" t="s">
        <v>116</v>
      </c>
      <c r="G47" s="185" t="s">
        <v>116</v>
      </c>
      <c r="H47" s="185" t="s">
        <v>116</v>
      </c>
      <c r="I47" s="185" t="s">
        <v>116</v>
      </c>
      <c r="J47" s="185" t="s">
        <v>116</v>
      </c>
      <c r="K47" s="185" t="s">
        <v>116</v>
      </c>
      <c r="L47" s="185" t="s">
        <v>116</v>
      </c>
      <c r="M47" s="185" t="s">
        <v>116</v>
      </c>
      <c r="N47" s="185" t="s">
        <v>116</v>
      </c>
      <c r="O47" s="185" t="s">
        <v>105</v>
      </c>
      <c r="P47" s="15" t="s">
        <v>105</v>
      </c>
    </row>
    <row r="48" spans="1:28" x14ac:dyDescent="0.2">
      <c r="A48" s="145" t="s">
        <v>61</v>
      </c>
      <c r="B48" s="71" t="s">
        <v>62</v>
      </c>
      <c r="C48" s="78">
        <v>871962</v>
      </c>
      <c r="D48" s="146">
        <f>AVERAGE(E48:O48)*12</f>
        <v>809750.1381818183</v>
      </c>
      <c r="E48" s="192">
        <v>67792.479999999996</v>
      </c>
      <c r="F48" s="188">
        <v>72161.39</v>
      </c>
      <c r="G48" s="188">
        <v>68249.41</v>
      </c>
      <c r="H48" s="188">
        <v>67169.990000000005</v>
      </c>
      <c r="I48" s="188">
        <v>66263.66</v>
      </c>
      <c r="J48" s="188">
        <v>68372.09</v>
      </c>
      <c r="K48" s="188">
        <v>73136.429999999993</v>
      </c>
      <c r="L48" s="188">
        <v>65483.360000000001</v>
      </c>
      <c r="M48" s="188">
        <v>68061.73</v>
      </c>
      <c r="N48" s="188">
        <v>66682.17</v>
      </c>
      <c r="O48" s="188">
        <v>58898.25</v>
      </c>
      <c r="P48" s="85">
        <f>($D48-SUM($E48:O48))</f>
        <v>67479.178181818221</v>
      </c>
    </row>
    <row r="49" spans="1:16" x14ac:dyDescent="0.2">
      <c r="A49" s="145" t="s">
        <v>63</v>
      </c>
      <c r="B49" s="71" t="s">
        <v>64</v>
      </c>
      <c r="C49" s="79">
        <v>603820</v>
      </c>
      <c r="D49" s="146">
        <f t="shared" ref="D49:D50" si="3">AVERAGE(E49:O49)*12</f>
        <v>552084.50181818183</v>
      </c>
      <c r="E49" s="192">
        <v>51546.47</v>
      </c>
      <c r="F49" s="188">
        <v>46048.57</v>
      </c>
      <c r="G49" s="188">
        <v>47010.49</v>
      </c>
      <c r="H49" s="188">
        <v>44991.23</v>
      </c>
      <c r="I49" s="188">
        <v>44570.39</v>
      </c>
      <c r="J49" s="188">
        <v>46285.47</v>
      </c>
      <c r="K49" s="188">
        <v>47238.98</v>
      </c>
      <c r="L49" s="188">
        <v>43952.56</v>
      </c>
      <c r="M49" s="188">
        <v>47717.760000000002</v>
      </c>
      <c r="N49" s="188">
        <v>43619.28</v>
      </c>
      <c r="O49" s="188">
        <v>43096.26</v>
      </c>
      <c r="P49" s="85">
        <f>($D49-SUM($E49:O49))</f>
        <v>46007.041818181868</v>
      </c>
    </row>
    <row r="50" spans="1:16" x14ac:dyDescent="0.2">
      <c r="A50" s="145" t="s">
        <v>65</v>
      </c>
      <c r="B50" s="71" t="s">
        <v>66</v>
      </c>
      <c r="C50" s="78">
        <v>608752</v>
      </c>
      <c r="D50" s="146">
        <f t="shared" si="3"/>
        <v>465959.17090909102</v>
      </c>
      <c r="E50" s="192">
        <v>23492.49</v>
      </c>
      <c r="F50" s="188">
        <v>41398.07</v>
      </c>
      <c r="G50" s="188">
        <v>40421.97</v>
      </c>
      <c r="H50" s="188">
        <v>40052.69</v>
      </c>
      <c r="I50" s="188">
        <v>39866.26</v>
      </c>
      <c r="J50" s="188">
        <v>40313.96</v>
      </c>
      <c r="K50" s="188">
        <v>41372.79</v>
      </c>
      <c r="L50" s="188">
        <v>39777.83</v>
      </c>
      <c r="M50" s="188">
        <v>42255.22</v>
      </c>
      <c r="N50" s="188">
        <v>40836.949999999997</v>
      </c>
      <c r="O50" s="188">
        <v>37341.01</v>
      </c>
      <c r="P50" s="85">
        <f>($D50-SUM($E50:O50))</f>
        <v>38829.930909090966</v>
      </c>
    </row>
    <row r="51" spans="1:16" x14ac:dyDescent="0.2">
      <c r="A51" s="145" t="s">
        <v>67</v>
      </c>
      <c r="B51" s="71" t="s">
        <v>68</v>
      </c>
      <c r="C51" s="79">
        <v>674053</v>
      </c>
      <c r="D51" s="146">
        <v>740000</v>
      </c>
      <c r="E51" s="192">
        <f>39171.76+82002.76+928.46</f>
        <v>122102.98</v>
      </c>
      <c r="F51" s="188">
        <f>9228.04+37163.63</f>
        <v>46391.67</v>
      </c>
      <c r="G51" s="188">
        <f>22516.7+23685.34+928.41</f>
        <v>47130.450000000004</v>
      </c>
      <c r="H51" s="188">
        <f>6681.85+23865.9+731.06</f>
        <v>31278.81</v>
      </c>
      <c r="I51" s="188">
        <v>23424.98</v>
      </c>
      <c r="J51" s="188">
        <f>13473.21+35433.88</f>
        <v>48907.09</v>
      </c>
      <c r="K51" s="188">
        <f>14752.06+7957.88+100.27</f>
        <v>22810.21</v>
      </c>
      <c r="L51" s="188">
        <f>17869.63+190432.6+1050</f>
        <v>209352.23</v>
      </c>
      <c r="M51" s="188">
        <f>27045.4+32670.9+45.57+15</f>
        <v>59776.87</v>
      </c>
      <c r="N51" s="188">
        <f>25170.14+27880.99+2467.05</f>
        <v>55518.180000000008</v>
      </c>
      <c r="O51" s="188">
        <f>9000.2+21757.44+595.12</f>
        <v>31352.76</v>
      </c>
      <c r="P51" s="85">
        <f>($D51-SUM($E51:O51))</f>
        <v>41953.769999999902</v>
      </c>
    </row>
    <row r="52" spans="1:16" ht="14.25" customHeight="1" x14ac:dyDescent="0.2">
      <c r="A52" s="148" t="s">
        <v>77</v>
      </c>
      <c r="B52" s="55" t="s">
        <v>89</v>
      </c>
      <c r="C52" s="29">
        <v>0</v>
      </c>
      <c r="D52" s="147">
        <v>0</v>
      </c>
      <c r="E52" s="192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85"/>
    </row>
    <row r="53" spans="1:16" ht="15" customHeight="1" x14ac:dyDescent="0.2">
      <c r="A53" s="148" t="s">
        <v>77</v>
      </c>
      <c r="B53" s="55" t="s">
        <v>89</v>
      </c>
      <c r="C53" s="29">
        <v>0</v>
      </c>
      <c r="D53" s="147">
        <v>0</v>
      </c>
      <c r="E53" s="192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85"/>
    </row>
    <row r="54" spans="1:16" x14ac:dyDescent="0.2">
      <c r="A54" s="148" t="s">
        <v>86</v>
      </c>
      <c r="B54" s="55" t="s">
        <v>88</v>
      </c>
      <c r="C54" s="29">
        <v>3000</v>
      </c>
      <c r="D54" s="147">
        <v>3000</v>
      </c>
      <c r="E54" s="192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85">
        <f>($D54-SUM($E54:O54))</f>
        <v>3000</v>
      </c>
    </row>
    <row r="55" spans="1:16" ht="13.5" thickBot="1" x14ac:dyDescent="0.25">
      <c r="A55" s="168" t="s">
        <v>69</v>
      </c>
      <c r="B55" s="169" t="s">
        <v>70</v>
      </c>
      <c r="C55" s="170"/>
      <c r="D55" s="171">
        <v>0</v>
      </c>
      <c r="E55" s="192">
        <f t="shared" ref="E55" si="4">$D55/12</f>
        <v>0</v>
      </c>
      <c r="F55" s="188">
        <f>($D55-SUM(E55:$E55))/11</f>
        <v>0</v>
      </c>
      <c r="G55" s="188">
        <f>($D55-SUM($E55:F55))/10</f>
        <v>0</v>
      </c>
      <c r="H55" s="188">
        <f>($D55-SUM($E55:G55))/9</f>
        <v>0</v>
      </c>
      <c r="I55" s="188">
        <f>($D55-SUM($E55:H55))/8</f>
        <v>0</v>
      </c>
      <c r="J55" s="188">
        <f>($D55-SUM($E55:I55))/7</f>
        <v>0</v>
      </c>
      <c r="K55" s="188">
        <f>($D55-SUM($E55:J55))/6</f>
        <v>0</v>
      </c>
      <c r="L55" s="188">
        <f>($D55-SUM($E55:K55))/5</f>
        <v>0</v>
      </c>
      <c r="M55" s="188">
        <f>($D55-SUM($E55:L55))/4</f>
        <v>0</v>
      </c>
      <c r="N55" s="188">
        <f>($D55-SUM($E55:M55))/3</f>
        <v>0</v>
      </c>
      <c r="O55" s="188">
        <f>($D55-SUM($E55:N55))/2</f>
        <v>0</v>
      </c>
      <c r="P55" s="85">
        <f>($D55-SUM($E55:O55))</f>
        <v>0</v>
      </c>
    </row>
    <row r="56" spans="1:16" ht="13.5" thickBot="1" x14ac:dyDescent="0.25">
      <c r="A56" s="164" t="s">
        <v>71</v>
      </c>
      <c r="B56" s="165" t="s">
        <v>75</v>
      </c>
      <c r="C56" s="166">
        <f>SUM(C48:C55)</f>
        <v>2761587</v>
      </c>
      <c r="D56" s="167">
        <f>SUM(D48:D55)</f>
        <v>2570793.810909091</v>
      </c>
      <c r="E56" s="191">
        <f>SUM(E48:E55)</f>
        <v>264934.42</v>
      </c>
      <c r="F56" s="200">
        <f>SUM(F48:F55)</f>
        <v>205999.7</v>
      </c>
      <c r="G56" s="200">
        <f>SUM(G48:G55)</f>
        <v>202812.32</v>
      </c>
      <c r="H56" s="200">
        <f>SUM(H48:H55)</f>
        <v>183492.72</v>
      </c>
      <c r="I56" s="200">
        <f>SUM(I48:I55)</f>
        <v>174125.29</v>
      </c>
      <c r="J56" s="200">
        <f>SUM(J48:J55)</f>
        <v>203878.61</v>
      </c>
      <c r="K56" s="200">
        <f>SUM(K48:K55)</f>
        <v>184558.41</v>
      </c>
      <c r="L56" s="200">
        <f>SUM(L48:L55)</f>
        <v>358565.98</v>
      </c>
      <c r="M56" s="200">
        <f>SUM(M48:M55)</f>
        <v>217811.58</v>
      </c>
      <c r="N56" s="200">
        <f>SUM(N48:N55)</f>
        <v>206656.58000000002</v>
      </c>
      <c r="O56" s="200">
        <f>SUM(O48:O55)</f>
        <v>170688.28000000003</v>
      </c>
      <c r="P56" s="117">
        <f>SUM(P48:P55)</f>
        <v>197269.92090909096</v>
      </c>
    </row>
    <row r="57" spans="1:16" ht="13.5" thickBot="1" x14ac:dyDescent="0.25">
      <c r="A57" s="32"/>
      <c r="B57" s="32"/>
      <c r="C57" s="25"/>
      <c r="D57" s="5"/>
      <c r="E57" s="5"/>
      <c r="F57" s="5"/>
      <c r="G57" s="6"/>
      <c r="H57" s="6"/>
      <c r="I57" s="7"/>
      <c r="J57" s="5"/>
      <c r="K57" s="6"/>
      <c r="L57" s="6"/>
      <c r="M57" s="4"/>
      <c r="N57" s="4"/>
      <c r="O57" s="4"/>
      <c r="P57" s="4"/>
    </row>
    <row r="58" spans="1:16" ht="25.5" x14ac:dyDescent="0.2">
      <c r="A58" s="131" t="s">
        <v>42</v>
      </c>
      <c r="B58" s="132"/>
      <c r="C58" s="133">
        <v>451000</v>
      </c>
      <c r="D58" s="134">
        <v>560143</v>
      </c>
      <c r="E58" s="126">
        <f>+D58</f>
        <v>560143</v>
      </c>
      <c r="F58" s="98">
        <f t="shared" ref="F58:P58" si="5">+E63</f>
        <v>523373.46</v>
      </c>
      <c r="G58" s="98">
        <f t="shared" si="5"/>
        <v>526424.12999999989</v>
      </c>
      <c r="H58" s="98">
        <f t="shared" si="5"/>
        <v>477962.35999999993</v>
      </c>
      <c r="I58" s="98">
        <f t="shared" si="5"/>
        <v>525952.78999999992</v>
      </c>
      <c r="J58" s="98">
        <f t="shared" si="5"/>
        <v>570500.94999999995</v>
      </c>
      <c r="K58" s="98">
        <f t="shared" si="5"/>
        <v>573488.27999999991</v>
      </c>
      <c r="L58" s="98">
        <f t="shared" si="5"/>
        <v>639304.75999999989</v>
      </c>
      <c r="M58" s="99">
        <f t="shared" si="5"/>
        <v>503485.12999999989</v>
      </c>
      <c r="N58" s="99">
        <f t="shared" si="5"/>
        <v>418158.1399999999</v>
      </c>
      <c r="O58" s="99">
        <f t="shared" si="5"/>
        <v>386369.1999999999</v>
      </c>
      <c r="P58" s="100">
        <f t="shared" si="5"/>
        <v>530957.85999999987</v>
      </c>
    </row>
    <row r="59" spans="1:16" x14ac:dyDescent="0.2">
      <c r="A59" s="135" t="s">
        <v>36</v>
      </c>
      <c r="B59" s="71"/>
      <c r="C59" s="129">
        <f>+C44</f>
        <v>2544227</v>
      </c>
      <c r="D59" s="136">
        <f>+D44</f>
        <v>2599790.6000000006</v>
      </c>
      <c r="E59" s="127">
        <f>+E44</f>
        <v>228164.88</v>
      </c>
      <c r="F59" s="47">
        <f>+F44</f>
        <v>209050.36999999994</v>
      </c>
      <c r="G59" s="47">
        <f>+G44</f>
        <v>154350.55000000002</v>
      </c>
      <c r="H59" s="47">
        <f>+H44</f>
        <v>231483.14999999997</v>
      </c>
      <c r="I59" s="47">
        <f>+I44</f>
        <v>218673.45</v>
      </c>
      <c r="J59" s="47">
        <f>+J44</f>
        <v>206865.94</v>
      </c>
      <c r="K59" s="47">
        <f>+K44</f>
        <v>250374.88999999998</v>
      </c>
      <c r="L59" s="47">
        <f>+L44</f>
        <v>222746.34999999998</v>
      </c>
      <c r="M59" s="100">
        <f>+M44</f>
        <v>132484.58999999997</v>
      </c>
      <c r="N59" s="100">
        <f>+N44</f>
        <v>174867.64</v>
      </c>
      <c r="O59" s="100">
        <f>+O44</f>
        <v>315276.94000000006</v>
      </c>
      <c r="P59" s="100">
        <f>+P44</f>
        <v>255451.84999999966</v>
      </c>
    </row>
    <row r="60" spans="1:16" x14ac:dyDescent="0.2">
      <c r="A60" s="135" t="s">
        <v>37</v>
      </c>
      <c r="B60" s="71"/>
      <c r="C60" s="129">
        <f>-C56</f>
        <v>-2761587</v>
      </c>
      <c r="D60" s="136">
        <f>-D56</f>
        <v>-2570793.810909091</v>
      </c>
      <c r="E60" s="127">
        <f>-E56</f>
        <v>-264934.42</v>
      </c>
      <c r="F60" s="47">
        <f>-F56</f>
        <v>-205999.7</v>
      </c>
      <c r="G60" s="47">
        <f>-G56</f>
        <v>-202812.32</v>
      </c>
      <c r="H60" s="47">
        <f>-H56</f>
        <v>-183492.72</v>
      </c>
      <c r="I60" s="47">
        <f>-I56</f>
        <v>-174125.29</v>
      </c>
      <c r="J60" s="47">
        <f>-J56</f>
        <v>-203878.61</v>
      </c>
      <c r="K60" s="47">
        <f>-K56</f>
        <v>-184558.41</v>
      </c>
      <c r="L60" s="47">
        <f>-L56</f>
        <v>-358565.98</v>
      </c>
      <c r="M60" s="100">
        <f>-M56</f>
        <v>-217811.58</v>
      </c>
      <c r="N60" s="100">
        <f>-N56</f>
        <v>-206656.58000000002</v>
      </c>
      <c r="O60" s="100">
        <f>-O56</f>
        <v>-170688.28000000003</v>
      </c>
      <c r="P60" s="100">
        <f>-P56</f>
        <v>-197269.92090909096</v>
      </c>
    </row>
    <row r="61" spans="1:16" x14ac:dyDescent="0.2">
      <c r="A61" s="137" t="s">
        <v>72</v>
      </c>
      <c r="B61" s="130" t="s">
        <v>73</v>
      </c>
      <c r="C61" s="129">
        <f>-C57</f>
        <v>0</v>
      </c>
      <c r="D61" s="138">
        <f>-D57</f>
        <v>0</v>
      </c>
      <c r="E61" s="128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2">
        <v>0</v>
      </c>
      <c r="N61" s="102">
        <v>0</v>
      </c>
      <c r="O61" s="102">
        <v>0</v>
      </c>
      <c r="P61" s="102">
        <v>0</v>
      </c>
    </row>
    <row r="62" spans="1:16" x14ac:dyDescent="0.2">
      <c r="A62" s="139" t="s">
        <v>74</v>
      </c>
      <c r="B62" s="55" t="s">
        <v>60</v>
      </c>
      <c r="C62" s="129">
        <f>+C61</f>
        <v>0</v>
      </c>
      <c r="D62" s="136">
        <f>+D61</f>
        <v>0</v>
      </c>
      <c r="E62" s="127"/>
      <c r="F62" s="98"/>
      <c r="G62" s="98"/>
      <c r="H62" s="103"/>
      <c r="I62" s="103"/>
      <c r="J62" s="103"/>
      <c r="K62" s="103"/>
      <c r="L62" s="103"/>
      <c r="M62" s="104"/>
      <c r="N62" s="104"/>
      <c r="O62" s="104"/>
      <c r="P62" s="104"/>
    </row>
    <row r="63" spans="1:16" ht="25.5" x14ac:dyDescent="0.2">
      <c r="A63" s="178" t="s">
        <v>92</v>
      </c>
      <c r="B63" s="160" t="s">
        <v>75</v>
      </c>
      <c r="C63" s="161">
        <f>SUM(C58:C62)</f>
        <v>233640</v>
      </c>
      <c r="D63" s="179">
        <f>SUM(D58:D62)</f>
        <v>589139.78909090953</v>
      </c>
      <c r="E63" s="119">
        <f t="shared" ref="E63:P63" si="6">SUM(E58:E62)</f>
        <v>523373.46</v>
      </c>
      <c r="F63" s="119">
        <f t="shared" si="6"/>
        <v>526424.12999999989</v>
      </c>
      <c r="G63" s="119">
        <f t="shared" si="6"/>
        <v>477962.35999999993</v>
      </c>
      <c r="H63" s="119">
        <f t="shared" si="6"/>
        <v>525952.78999999992</v>
      </c>
      <c r="I63" s="118">
        <f t="shared" si="6"/>
        <v>570500.94999999995</v>
      </c>
      <c r="J63" s="118">
        <f t="shared" si="6"/>
        <v>573488.27999999991</v>
      </c>
      <c r="K63" s="118">
        <f t="shared" si="6"/>
        <v>639304.75999999989</v>
      </c>
      <c r="L63" s="118">
        <f t="shared" si="6"/>
        <v>503485.12999999989</v>
      </c>
      <c r="M63" s="120">
        <f t="shared" si="6"/>
        <v>418158.1399999999</v>
      </c>
      <c r="N63" s="120">
        <f t="shared" si="6"/>
        <v>386369.1999999999</v>
      </c>
      <c r="O63" s="120">
        <f t="shared" si="6"/>
        <v>530957.85999999987</v>
      </c>
      <c r="P63" s="121">
        <f t="shared" si="6"/>
        <v>589139.7890909086</v>
      </c>
    </row>
    <row r="64" spans="1:16" x14ac:dyDescent="0.2">
      <c r="A64" s="36"/>
      <c r="B64" s="36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60"/>
      <c r="N64" s="60"/>
      <c r="O64" s="60"/>
      <c r="P64" s="60"/>
    </row>
    <row r="65" spans="1:28" x14ac:dyDescent="0.2">
      <c r="A65" s="40" t="s">
        <v>82</v>
      </c>
      <c r="B65" s="36"/>
      <c r="C65" s="38"/>
      <c r="D65" s="42"/>
      <c r="E65" s="43"/>
      <c r="F65" s="43"/>
      <c r="G65" s="43"/>
      <c r="H65" s="43"/>
      <c r="I65" s="42"/>
      <c r="J65" s="42"/>
      <c r="K65" s="42"/>
      <c r="L65" s="42"/>
      <c r="M65" s="44"/>
      <c r="N65" s="44"/>
      <c r="O65" s="44"/>
      <c r="P65" s="44"/>
    </row>
    <row r="66" spans="1:28" x14ac:dyDescent="0.2">
      <c r="A66" s="45" t="s">
        <v>78</v>
      </c>
      <c r="B66" s="46"/>
      <c r="C66" s="28"/>
      <c r="D66" s="47"/>
      <c r="E66" s="47"/>
      <c r="F66" s="47"/>
      <c r="G66" s="47"/>
      <c r="H66" s="47"/>
      <c r="I66" s="47"/>
      <c r="J66" s="48"/>
      <c r="K66" s="48"/>
      <c r="L66" s="48"/>
      <c r="M66" s="49"/>
      <c r="N66" s="49"/>
      <c r="O66" s="49"/>
      <c r="P66" s="50"/>
    </row>
    <row r="67" spans="1:28" x14ac:dyDescent="0.2">
      <c r="A67" s="49" t="s">
        <v>79</v>
      </c>
      <c r="B67" s="51"/>
      <c r="C67" s="52"/>
      <c r="D67" s="53">
        <v>43847</v>
      </c>
      <c r="E67" s="53">
        <v>43847</v>
      </c>
      <c r="F67" s="53">
        <v>43847</v>
      </c>
      <c r="G67" s="53">
        <v>43847</v>
      </c>
      <c r="H67" s="53">
        <v>43847</v>
      </c>
      <c r="I67" s="53">
        <v>43847</v>
      </c>
      <c r="J67" s="53">
        <v>43847</v>
      </c>
      <c r="K67" s="53">
        <v>43847</v>
      </c>
      <c r="L67" s="53">
        <v>43847</v>
      </c>
      <c r="M67" s="53">
        <v>43847</v>
      </c>
      <c r="N67" s="53">
        <v>43847</v>
      </c>
      <c r="O67" s="53">
        <v>43847</v>
      </c>
      <c r="P67" s="53">
        <v>43847</v>
      </c>
    </row>
    <row r="68" spans="1:28" ht="25.5" x14ac:dyDescent="0.2">
      <c r="A68" s="55" t="s">
        <v>80</v>
      </c>
      <c r="B68" s="58" t="s">
        <v>120</v>
      </c>
      <c r="C68" s="56"/>
      <c r="D68" s="48">
        <v>460265</v>
      </c>
      <c r="E68" s="54">
        <v>460265</v>
      </c>
      <c r="F68" s="54">
        <v>460265</v>
      </c>
      <c r="G68" s="54">
        <v>460265</v>
      </c>
      <c r="H68" s="54">
        <v>460265</v>
      </c>
      <c r="I68" s="54">
        <v>460265</v>
      </c>
      <c r="J68" s="54">
        <v>460265</v>
      </c>
      <c r="K68" s="54">
        <v>460265</v>
      </c>
      <c r="L68" s="54">
        <v>460265</v>
      </c>
      <c r="M68" s="54">
        <v>460265</v>
      </c>
      <c r="N68" s="54">
        <v>460265</v>
      </c>
      <c r="O68" s="54">
        <v>460265</v>
      </c>
      <c r="P68" s="54">
        <v>460265</v>
      </c>
    </row>
    <row r="69" spans="1:28" s="59" customFormat="1" ht="27.75" customHeight="1" x14ac:dyDescent="0.2">
      <c r="A69" s="57" t="s">
        <v>81</v>
      </c>
      <c r="B69" s="58"/>
      <c r="C69" s="61">
        <f>C63-C66-C67-C68</f>
        <v>233640</v>
      </c>
      <c r="D69" s="61">
        <f>D63-D66-D67-D68</f>
        <v>85027.789090909529</v>
      </c>
      <c r="E69" s="61">
        <f>E63-E66-E67-E68</f>
        <v>19261.460000000021</v>
      </c>
      <c r="F69" s="61">
        <f>F63-F66-F67-F68</f>
        <v>22312.129999999888</v>
      </c>
      <c r="G69" s="61">
        <f>G63-G66-G67-G68</f>
        <v>-26149.640000000072</v>
      </c>
      <c r="H69" s="61">
        <f>H63-H66-H67-H68</f>
        <v>21840.789999999921</v>
      </c>
      <c r="I69" s="61">
        <f>I63-I66-I67-I68</f>
        <v>66388.949999999953</v>
      </c>
      <c r="J69" s="61">
        <f>J63-J66-J67-J68</f>
        <v>69376.279999999912</v>
      </c>
      <c r="K69" s="61">
        <f>K63-K66-K67-K68</f>
        <v>135192.75999999989</v>
      </c>
      <c r="L69" s="61">
        <f>L63-L66-L67-L68</f>
        <v>-626.87000000011176</v>
      </c>
      <c r="M69" s="61">
        <f>M63-M66-M67-M68</f>
        <v>-85953.860000000102</v>
      </c>
      <c r="N69" s="61">
        <f>N63-N66-N67-N68</f>
        <v>-117742.8000000001</v>
      </c>
      <c r="O69" s="61">
        <f>O63-O66-O67-O68</f>
        <v>26845.85999999987</v>
      </c>
      <c r="P69" s="61">
        <f>P63-P66-P67-P68</f>
        <v>85027.789090908598</v>
      </c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</row>
    <row r="70" spans="1:28" ht="15" customHeight="1" x14ac:dyDescent="0.2">
      <c r="B70" s="34"/>
      <c r="C70"/>
      <c r="D70"/>
      <c r="E70"/>
      <c r="F70"/>
      <c r="G70"/>
      <c r="J70" s="3"/>
    </row>
  </sheetData>
  <phoneticPr fontId="0" type="noConversion"/>
  <conditionalFormatting sqref="E9:P70">
    <cfRule type="cellIs" dxfId="0" priority="1" operator="lessThan">
      <formula>0</formula>
    </cfRule>
  </conditionalFormatting>
  <pageMargins left="0.43" right="0.46" top="0.4" bottom="0.3" header="0.38" footer="0.41"/>
  <pageSetup paperSize="5" scale="55" orientation="landscape" r:id="rId1"/>
  <headerFooter alignWithMargins="0"/>
  <rowBreaks count="1" manualBreakCount="1">
    <brk id="6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"/>
  <sheetViews>
    <sheetView workbookViewId="0">
      <selection activeCell="M19" sqref="M19"/>
    </sheetView>
  </sheetViews>
  <sheetFormatPr defaultRowHeight="12.75" x14ac:dyDescent="0.2"/>
  <cols>
    <col min="1" max="1" width="33.85546875" customWidth="1"/>
    <col min="2" max="2" width="16.5703125" bestFit="1" customWidth="1"/>
    <col min="3" max="3" width="18.5703125" bestFit="1" customWidth="1"/>
    <col min="4" max="4" width="15.85546875" bestFit="1" customWidth="1"/>
    <col min="5" max="5" width="12.85546875" bestFit="1" customWidth="1"/>
    <col min="6" max="7" width="15.140625" bestFit="1" customWidth="1"/>
    <col min="8" max="15" width="21.85546875" customWidth="1"/>
    <col min="16" max="16" width="11.5703125" bestFit="1" customWidth="1"/>
  </cols>
  <sheetData>
    <row r="1" spans="1:29" x14ac:dyDescent="0.2">
      <c r="A1" s="40" t="str">
        <f>'Fund Balance Projection'!A1</f>
        <v xml:space="preserve"> North River School District</v>
      </c>
    </row>
    <row r="2" spans="1:29" ht="13.5" thickBot="1" x14ac:dyDescent="0.25"/>
    <row r="3" spans="1:29" s="1" customFormat="1" x14ac:dyDescent="0.2">
      <c r="A3" s="31" t="s">
        <v>94</v>
      </c>
      <c r="B3" s="87" t="s">
        <v>17</v>
      </c>
      <c r="C3" s="88" t="s">
        <v>28</v>
      </c>
      <c r="D3" s="23" t="s">
        <v>7</v>
      </c>
      <c r="E3" s="23" t="s">
        <v>8</v>
      </c>
      <c r="F3" s="23" t="s">
        <v>95</v>
      </c>
      <c r="G3" s="23" t="s">
        <v>96</v>
      </c>
      <c r="H3" s="15" t="s">
        <v>97</v>
      </c>
      <c r="I3" s="15" t="s">
        <v>3</v>
      </c>
      <c r="J3" s="15" t="s">
        <v>98</v>
      </c>
      <c r="K3" s="15" t="s">
        <v>99</v>
      </c>
      <c r="L3" s="18" t="s">
        <v>12</v>
      </c>
      <c r="M3" s="18" t="s">
        <v>13</v>
      </c>
      <c r="N3" s="18" t="s">
        <v>100</v>
      </c>
      <c r="O3" s="19" t="s">
        <v>101</v>
      </c>
      <c r="P3" s="22" t="s">
        <v>39</v>
      </c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1" customFormat="1" x14ac:dyDescent="0.2">
      <c r="A4" s="32"/>
      <c r="B4" s="89" t="s">
        <v>6</v>
      </c>
      <c r="C4" s="90" t="s">
        <v>93</v>
      </c>
      <c r="D4" s="15" t="str">
        <f>'Fund Balance Projection'!E7</f>
        <v>Actual</v>
      </c>
      <c r="E4" s="15" t="str">
        <f>'Fund Balance Projection'!F7</f>
        <v>Actual</v>
      </c>
      <c r="F4" s="15" t="str">
        <f>'Fund Balance Projection'!G7</f>
        <v>Actual</v>
      </c>
      <c r="G4" s="15" t="str">
        <f>'Fund Balance Projection'!H7</f>
        <v>Actual</v>
      </c>
      <c r="H4" s="15" t="str">
        <f>'Fund Balance Projection'!I7</f>
        <v>Actual</v>
      </c>
      <c r="I4" s="15" t="str">
        <f>'Fund Balance Projection'!J7</f>
        <v>Actual</v>
      </c>
      <c r="J4" s="15" t="str">
        <f>'Fund Balance Projection'!K7</f>
        <v>Actual</v>
      </c>
      <c r="K4" s="15" t="str">
        <f>'Fund Balance Projection'!L7</f>
        <v>Actual</v>
      </c>
      <c r="L4" s="15" t="str">
        <f>'Fund Balance Projection'!M7</f>
        <v>Actual</v>
      </c>
      <c r="M4" s="15" t="str">
        <f>'Fund Balance Projection'!N7</f>
        <v>Actual</v>
      </c>
      <c r="N4" s="15" t="str">
        <f>'Fund Balance Projection'!O7</f>
        <v>Actual</v>
      </c>
      <c r="O4" s="15" t="str">
        <f>'Fund Balance Projection'!P7</f>
        <v>Estimate</v>
      </c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1" customFormat="1" ht="19.5" customHeight="1" x14ac:dyDescent="0.2">
      <c r="A5" s="37" t="s">
        <v>41</v>
      </c>
      <c r="B5" s="91">
        <f>'Fund Balance Projection'!C5</f>
        <v>46</v>
      </c>
      <c r="C5" s="92">
        <f>'Fund Balance Projection'!D5</f>
        <v>52.14</v>
      </c>
      <c r="D5" s="105">
        <f>'Fund Balance Projection'!E5</f>
        <v>48.75</v>
      </c>
      <c r="E5" s="105">
        <f>'Fund Balance Projection'!F5</f>
        <v>56</v>
      </c>
      <c r="F5" s="105">
        <f>'Fund Balance Projection'!G5</f>
        <v>54.879999999999995</v>
      </c>
      <c r="G5" s="105">
        <f>'Fund Balance Projection'!H5</f>
        <v>53</v>
      </c>
      <c r="H5" s="105">
        <f>'Fund Balance Projection'!I5</f>
        <v>53.66</v>
      </c>
      <c r="I5" s="105">
        <f>'Fund Balance Projection'!J5</f>
        <v>52.459999999999994</v>
      </c>
      <c r="J5" s="105">
        <f>'Fund Balance Projection'!K5</f>
        <v>50.459999999999994</v>
      </c>
      <c r="K5" s="105">
        <f>'Fund Balance Projection'!L5</f>
        <v>50.46</v>
      </c>
      <c r="L5" s="105">
        <f>'Fund Balance Projection'!M5</f>
        <v>49.56</v>
      </c>
      <c r="M5" s="105">
        <f>'Fund Balance Projection'!N5</f>
        <v>48.56</v>
      </c>
      <c r="N5" s="105">
        <f>'Fund Balance Projection'!O5</f>
        <v>0</v>
      </c>
      <c r="O5" s="105">
        <f>'Fund Balance Projection'!P5</f>
        <v>0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1" customFormat="1" ht="19.5" customHeight="1" x14ac:dyDescent="0.2">
      <c r="A6" s="37" t="s">
        <v>0</v>
      </c>
      <c r="B6" s="93">
        <f>'Fund Balance Projection'!C44</f>
        <v>2544227</v>
      </c>
      <c r="C6" s="94">
        <f>'Fund Balance Projection'!D44</f>
        <v>2599790.6000000006</v>
      </c>
      <c r="D6" s="106">
        <f>'Fund Balance Projection'!E44</f>
        <v>228164.88</v>
      </c>
      <c r="E6" s="107">
        <f>'Fund Balance Projection'!F44</f>
        <v>209050.36999999994</v>
      </c>
      <c r="F6" s="107">
        <f>'Fund Balance Projection'!G44</f>
        <v>154350.55000000002</v>
      </c>
      <c r="G6" s="107">
        <f>'Fund Balance Projection'!H44</f>
        <v>231483.14999999997</v>
      </c>
      <c r="H6" s="107">
        <f>'Fund Balance Projection'!I44</f>
        <v>218673.45</v>
      </c>
      <c r="I6" s="107">
        <f>'Fund Balance Projection'!J44</f>
        <v>206865.94</v>
      </c>
      <c r="J6" s="107">
        <f>'Fund Balance Projection'!K44</f>
        <v>250374.88999999998</v>
      </c>
      <c r="K6" s="107">
        <f>'Fund Balance Projection'!L44</f>
        <v>222746.34999999998</v>
      </c>
      <c r="L6" s="107">
        <f>'Fund Balance Projection'!M44</f>
        <v>132484.58999999997</v>
      </c>
      <c r="M6" s="107">
        <f>'Fund Balance Projection'!N44</f>
        <v>174867.64</v>
      </c>
      <c r="N6" s="107">
        <f>'Fund Balance Projection'!O44</f>
        <v>315276.94000000006</v>
      </c>
      <c r="O6" s="107">
        <f>'Fund Balance Projection'!P44</f>
        <v>255451.84999999966</v>
      </c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1" customFormat="1" ht="19.5" customHeight="1" x14ac:dyDescent="0.2">
      <c r="A7" s="37" t="s">
        <v>71</v>
      </c>
      <c r="B7" s="93">
        <f>'Fund Balance Projection'!C56</f>
        <v>2761587</v>
      </c>
      <c r="C7" s="94">
        <f>'Fund Balance Projection'!D56</f>
        <v>2570793.810909091</v>
      </c>
      <c r="D7" s="106">
        <f>'Fund Balance Projection'!E56</f>
        <v>264934.42</v>
      </c>
      <c r="E7" s="107">
        <f>'Fund Balance Projection'!F56</f>
        <v>205999.7</v>
      </c>
      <c r="F7" s="107">
        <f>'Fund Balance Projection'!G56</f>
        <v>202812.32</v>
      </c>
      <c r="G7" s="107">
        <f>'Fund Balance Projection'!H56</f>
        <v>183492.72</v>
      </c>
      <c r="H7" s="107">
        <f>'Fund Balance Projection'!I56</f>
        <v>174125.29</v>
      </c>
      <c r="I7" s="107">
        <f>'Fund Balance Projection'!J56</f>
        <v>203878.61</v>
      </c>
      <c r="J7" s="107">
        <f>'Fund Balance Projection'!K56</f>
        <v>184558.41</v>
      </c>
      <c r="K7" s="107">
        <f>'Fund Balance Projection'!L56</f>
        <v>358565.98</v>
      </c>
      <c r="L7" s="107">
        <f>'Fund Balance Projection'!M56</f>
        <v>217811.58</v>
      </c>
      <c r="M7" s="107">
        <f>'Fund Balance Projection'!N56</f>
        <v>206656.58000000002</v>
      </c>
      <c r="N7" s="107">
        <f>'Fund Balance Projection'!O56</f>
        <v>170688.28000000003</v>
      </c>
      <c r="O7" s="107">
        <f>'Fund Balance Projection'!P56</f>
        <v>197269.92090909096</v>
      </c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1" customFormat="1" ht="19.5" customHeight="1" x14ac:dyDescent="0.2">
      <c r="A8" s="37" t="s">
        <v>42</v>
      </c>
      <c r="B8" s="109">
        <f>'Fund Balance Projection'!C58</f>
        <v>451000</v>
      </c>
      <c r="C8" s="110">
        <f>'Fund Balance Projection'!D58</f>
        <v>560143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1" customFormat="1" ht="19.5" customHeight="1" thickBot="1" x14ac:dyDescent="0.25">
      <c r="A9" s="37" t="s">
        <v>92</v>
      </c>
      <c r="B9" s="95">
        <f>'Fund Balance Projection'!C63</f>
        <v>233640</v>
      </c>
      <c r="C9" s="96">
        <f>'Fund Balance Projection'!D63</f>
        <v>589139.78909090953</v>
      </c>
      <c r="D9" s="108">
        <f>'Fund Balance Projection'!E63</f>
        <v>523373.46</v>
      </c>
      <c r="E9" s="108">
        <f>'Fund Balance Projection'!F63</f>
        <v>526424.12999999989</v>
      </c>
      <c r="F9" s="108">
        <f>'Fund Balance Projection'!G63</f>
        <v>477962.35999999993</v>
      </c>
      <c r="G9" s="108">
        <f>'Fund Balance Projection'!H63</f>
        <v>525952.78999999992</v>
      </c>
      <c r="H9" s="108">
        <f>'Fund Balance Projection'!I63</f>
        <v>570500.94999999995</v>
      </c>
      <c r="I9" s="108">
        <f>'Fund Balance Projection'!J63</f>
        <v>573488.27999999991</v>
      </c>
      <c r="J9" s="108">
        <f>'Fund Balance Projection'!K63</f>
        <v>639304.75999999989</v>
      </c>
      <c r="K9" s="108">
        <f>'Fund Balance Projection'!L63</f>
        <v>503485.12999999989</v>
      </c>
      <c r="L9" s="108">
        <f>'Fund Balance Projection'!M63</f>
        <v>418158.1399999999</v>
      </c>
      <c r="M9" s="108">
        <f>'Fund Balance Projection'!N63</f>
        <v>386369.1999999999</v>
      </c>
      <c r="N9" s="108">
        <f>'Fund Balance Projection'!O63</f>
        <v>530957.85999999987</v>
      </c>
      <c r="O9" s="108">
        <f>'Fund Balance Projection'!P63</f>
        <v>589139.7890909086</v>
      </c>
      <c r="P9"/>
      <c r="Q9"/>
      <c r="R9"/>
      <c r="S9"/>
      <c r="T9"/>
      <c r="U9"/>
      <c r="V9"/>
      <c r="W9"/>
      <c r="X9"/>
      <c r="Y9"/>
      <c r="Z9"/>
      <c r="AA9"/>
      <c r="AB9"/>
      <c r="AC9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Fund Balance Projection</vt:lpstr>
      <vt:lpstr>Summary</vt:lpstr>
      <vt:lpstr>'Fund Balance Projection'!Print_Area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April Kaech</cp:lastModifiedBy>
  <cp:lastPrinted>2010-02-05T00:40:01Z</cp:lastPrinted>
  <dcterms:created xsi:type="dcterms:W3CDTF">1998-01-11T12:15:28Z</dcterms:created>
  <dcterms:modified xsi:type="dcterms:W3CDTF">2025-08-04T19:25:27Z</dcterms:modified>
</cp:coreProperties>
</file>